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raig Forrest\CBP Docs\"/>
    </mc:Choice>
  </mc:AlternateContent>
  <xr:revisionPtr revIDLastSave="0" documentId="13_ncr:1_{8D51FD57-0ABA-4EAC-A031-93483345A058}" xr6:coauthVersionLast="47" xr6:coauthVersionMax="47" xr10:uidLastSave="{00000000-0000-0000-0000-000000000000}"/>
  <bookViews>
    <workbookView xWindow="-108" yWindow="-108" windowWidth="23256" windowHeight="12576" tabRatio="599" firstSheet="64" activeTab="74" xr2:uid="{00000000-000D-0000-FFFF-FFFF00000000}"/>
  </bookViews>
  <sheets>
    <sheet name="Adams" sheetId="73" r:id="rId1"/>
    <sheet name="Allen" sheetId="2" r:id="rId2"/>
    <sheet name="Ashland" sheetId="4" r:id="rId3"/>
    <sheet name="Ashtabula" sheetId="5" r:id="rId4"/>
    <sheet name="Athens" sheetId="6" r:id="rId5"/>
    <sheet name="Auglaize" sheetId="7" r:id="rId6"/>
    <sheet name="Belmont" sheetId="56" r:id="rId7"/>
    <sheet name="Brown" sheetId="8" r:id="rId8"/>
    <sheet name="Butler" sheetId="9" r:id="rId9"/>
    <sheet name="Champaign" sheetId="76" r:id="rId10"/>
    <sheet name="Clark" sheetId="57" r:id="rId11"/>
    <sheet name="Clermont" sheetId="81" r:id="rId12"/>
    <sheet name="Clinton" sheetId="10" r:id="rId13"/>
    <sheet name="Columbiana" sheetId="63" r:id="rId14"/>
    <sheet name="Coshocton" sheetId="11" r:id="rId15"/>
    <sheet name="Crawford" sheetId="12" r:id="rId16"/>
    <sheet name="Darke" sheetId="13" r:id="rId17"/>
    <sheet name="Defiance" sheetId="14" r:id="rId18"/>
    <sheet name="Delaware" sheetId="55" r:id="rId19"/>
    <sheet name="Erie" sheetId="74" r:id="rId20"/>
    <sheet name="Fairfield" sheetId="15" r:id="rId21"/>
    <sheet name="Fayette" sheetId="54" r:id="rId22"/>
    <sheet name="Franklin" sheetId="16" r:id="rId23"/>
    <sheet name="Fulton" sheetId="17" r:id="rId24"/>
    <sheet name="Gallia" sheetId="59" r:id="rId25"/>
    <sheet name="Geauga" sheetId="18" r:id="rId26"/>
    <sheet name="Greene" sheetId="19" r:id="rId27"/>
    <sheet name="Hancock" sheetId="20" r:id="rId28"/>
    <sheet name="Harrison" sheetId="77" r:id="rId29"/>
    <sheet name="Henry" sheetId="21" r:id="rId30"/>
    <sheet name="Highland" sheetId="22" r:id="rId31"/>
    <sheet name="Holmes" sheetId="65" r:id="rId32"/>
    <sheet name="Huron" sheetId="23" r:id="rId33"/>
    <sheet name="Jackson" sheetId="68" r:id="rId34"/>
    <sheet name="Jefferson" sheetId="60" r:id="rId35"/>
    <sheet name="Knox" sheetId="24" r:id="rId36"/>
    <sheet name="Lake" sheetId="75" r:id="rId37"/>
    <sheet name="Lawrence" sheetId="66" r:id="rId38"/>
    <sheet name="Licking" sheetId="25" r:id="rId39"/>
    <sheet name="Logan" sheetId="67" r:id="rId40"/>
    <sheet name="Lorain" sheetId="62" r:id="rId41"/>
    <sheet name="Lucas" sheetId="26" r:id="rId42"/>
    <sheet name="Madison" sheetId="27" r:id="rId43"/>
    <sheet name="Marion" sheetId="28" r:id="rId44"/>
    <sheet name="Medina" sheetId="61" r:id="rId45"/>
    <sheet name="Meigs" sheetId="29" r:id="rId46"/>
    <sheet name="Mercer" sheetId="30" r:id="rId47"/>
    <sheet name="Miami" sheetId="31" r:id="rId48"/>
    <sheet name="Monroe" sheetId="71" r:id="rId49"/>
    <sheet name="Montgomery" sheetId="32" r:id="rId50"/>
    <sheet name="Morgan" sheetId="33" r:id="rId51"/>
    <sheet name="Morrow" sheetId="34" r:id="rId52"/>
    <sheet name="Muskingum" sheetId="35" r:id="rId53"/>
    <sheet name="Ottawa" sheetId="58" r:id="rId54"/>
    <sheet name="Paulding" sheetId="36" r:id="rId55"/>
    <sheet name="Perry" sheetId="37" r:id="rId56"/>
    <sheet name="Pickaway" sheetId="38" r:id="rId57"/>
    <sheet name="Pike" sheetId="39" r:id="rId58"/>
    <sheet name="Portage" sheetId="40" r:id="rId59"/>
    <sheet name="Preble" sheetId="41" r:id="rId60"/>
    <sheet name="Putnam" sheetId="78" r:id="rId61"/>
    <sheet name="Richland" sheetId="42" r:id="rId62"/>
    <sheet name="Ross" sheetId="43" r:id="rId63"/>
    <sheet name="Scioto" sheetId="44" r:id="rId64"/>
    <sheet name="Seneca" sheetId="45" r:id="rId65"/>
    <sheet name="Shelby" sheetId="46" r:id="rId66"/>
    <sheet name="Shelby2" sheetId="82" r:id="rId67"/>
    <sheet name="Stark" sheetId="47" r:id="rId68"/>
    <sheet name="Summit" sheetId="79" r:id="rId69"/>
    <sheet name="Trumbull" sheetId="48" r:id="rId70"/>
    <sheet name="Tuscarawas" sheetId="49" r:id="rId71"/>
    <sheet name="Union" sheetId="69" r:id="rId72"/>
    <sheet name="Vinton" sheetId="50" r:id="rId73"/>
    <sheet name="Warren" sheetId="80" r:id="rId74"/>
    <sheet name="Washington" sheetId="51" r:id="rId75"/>
    <sheet name="Wayne" sheetId="52" r:id="rId76"/>
    <sheet name="Williams" sheetId="3" r:id="rId77"/>
    <sheet name="Wood" sheetId="70" r:id="rId78"/>
    <sheet name="Wyandot" sheetId="72" r:id="rId79"/>
    <sheet name="Cities" sheetId="64" r:id="rId80"/>
  </sheets>
  <calcPr calcId="191029"/>
</workbook>
</file>

<file path=xl/calcChain.xml><?xml version="1.0" encoding="utf-8"?>
<calcChain xmlns="http://schemas.openxmlformats.org/spreadsheetml/2006/main">
  <c r="J15" i="51" l="1"/>
  <c r="J39" i="31"/>
  <c r="J16" i="34"/>
  <c r="J22" i="30"/>
  <c r="J29" i="38"/>
  <c r="J28" i="38"/>
  <c r="J27" i="38"/>
  <c r="J11" i="42"/>
  <c r="J26" i="38"/>
  <c r="I20" i="4"/>
  <c r="J18" i="4"/>
  <c r="J20" i="4"/>
  <c r="J13" i="27"/>
  <c r="J14" i="35"/>
  <c r="J38" i="31"/>
  <c r="J30" i="38"/>
  <c r="J14" i="15"/>
  <c r="J7" i="79"/>
  <c r="I31" i="52"/>
  <c r="J29" i="52"/>
  <c r="J31" i="52" s="1"/>
  <c r="J13" i="68"/>
  <c r="J17" i="65"/>
  <c r="J24" i="39"/>
  <c r="I132" i="82"/>
  <c r="I46" i="30"/>
  <c r="I61" i="30" s="1"/>
  <c r="J10" i="78"/>
  <c r="J9" i="78"/>
  <c r="J37" i="31"/>
  <c r="J36" i="31"/>
  <c r="J12" i="10"/>
  <c r="J10" i="63"/>
  <c r="J12" i="68"/>
  <c r="J15" i="62"/>
  <c r="J15" i="58"/>
  <c r="J7" i="50"/>
  <c r="J8" i="50"/>
  <c r="J9" i="50"/>
  <c r="I14" i="50"/>
  <c r="J14" i="50" s="1"/>
  <c r="J6" i="50"/>
  <c r="J12" i="27"/>
  <c r="J14" i="16"/>
  <c r="J8" i="80"/>
  <c r="J13" i="37"/>
  <c r="J30" i="24"/>
  <c r="J15" i="72"/>
  <c r="J14" i="58"/>
  <c r="J13" i="58"/>
  <c r="J16" i="6" l="1"/>
  <c r="J18" i="20"/>
  <c r="J12" i="58"/>
  <c r="J11" i="58"/>
  <c r="J20" i="23" l="1"/>
  <c r="J19" i="23"/>
  <c r="J10" i="42"/>
  <c r="J9" i="2"/>
  <c r="J18" i="23"/>
  <c r="J16" i="65"/>
  <c r="J11" i="7"/>
  <c r="J35" i="31"/>
  <c r="J21" i="30"/>
  <c r="J15" i="34"/>
  <c r="J8" i="78"/>
  <c r="J14" i="62"/>
  <c r="I28" i="82"/>
  <c r="I131" i="82" s="1"/>
  <c r="J14" i="82"/>
  <c r="I14" i="82"/>
  <c r="I31" i="82" s="1"/>
  <c r="J1" i="82"/>
  <c r="J34" i="31"/>
  <c r="I29" i="81"/>
  <c r="I35" i="81" s="1"/>
  <c r="I14" i="81"/>
  <c r="I32" i="81" s="1"/>
  <c r="J14" i="81"/>
  <c r="J1" i="81"/>
  <c r="J24" i="12"/>
  <c r="J33" i="31"/>
  <c r="J49" i="25"/>
  <c r="J48" i="25"/>
  <c r="J11" i="73"/>
  <c r="J10" i="73"/>
  <c r="J32" i="31"/>
  <c r="J47" i="25"/>
  <c r="J25" i="32"/>
  <c r="J24" i="32"/>
  <c r="J31" i="31"/>
  <c r="J20" i="30"/>
  <c r="J29" i="24"/>
  <c r="J9" i="57"/>
  <c r="J9" i="66"/>
  <c r="J9" i="42"/>
  <c r="J11" i="68"/>
  <c r="J23" i="32"/>
  <c r="J7" i="80"/>
  <c r="J8" i="61"/>
  <c r="J7" i="78"/>
  <c r="J17" i="20"/>
  <c r="J15" i="6"/>
  <c r="J17" i="23"/>
  <c r="J46" i="25"/>
  <c r="J16" i="23"/>
  <c r="J14" i="72"/>
  <c r="J30" i="31"/>
  <c r="J6" i="75"/>
  <c r="J14" i="48"/>
  <c r="J25" i="38"/>
  <c r="J24" i="38"/>
  <c r="J23" i="38"/>
  <c r="J22" i="38"/>
  <c r="J14" i="6"/>
  <c r="J17" i="17"/>
  <c r="J9" i="63"/>
  <c r="J33" i="41"/>
  <c r="J32" i="41"/>
  <c r="I30" i="80"/>
  <c r="I34" i="80" s="1"/>
  <c r="I16" i="80"/>
  <c r="I33" i="80" s="1"/>
  <c r="J6" i="80"/>
  <c r="J1" i="80"/>
  <c r="J14" i="34"/>
  <c r="I18" i="34"/>
  <c r="I35" i="34" s="1"/>
  <c r="J19" i="30"/>
  <c r="J18" i="30"/>
  <c r="J8" i="29"/>
  <c r="J13" i="62"/>
  <c r="J10" i="22"/>
  <c r="J29" i="31"/>
  <c r="J45" i="25"/>
  <c r="J44" i="25"/>
  <c r="J13" i="6"/>
  <c r="I39" i="4"/>
  <c r="J17" i="4"/>
  <c r="J43" i="25"/>
  <c r="J23" i="12"/>
  <c r="J15" i="65"/>
  <c r="J42" i="25"/>
  <c r="J6" i="79"/>
  <c r="J14" i="79" s="1"/>
  <c r="I28" i="79"/>
  <c r="I33" i="79" s="1"/>
  <c r="I14" i="79"/>
  <c r="I31" i="79" s="1"/>
  <c r="J1" i="79"/>
  <c r="J23" i="39"/>
  <c r="J22" i="32"/>
  <c r="J21" i="32"/>
  <c r="J20" i="32"/>
  <c r="J28" i="28"/>
  <c r="J41" i="25"/>
  <c r="J28" i="24"/>
  <c r="J27" i="24"/>
  <c r="J14" i="65"/>
  <c r="J9" i="22"/>
  <c r="I14" i="22"/>
  <c r="J14" i="22" s="1"/>
  <c r="J7" i="22"/>
  <c r="J8" i="22"/>
  <c r="J6" i="22"/>
  <c r="J23" i="18"/>
  <c r="J22" i="18"/>
  <c r="J16" i="17"/>
  <c r="J15" i="17"/>
  <c r="J13" i="15"/>
  <c r="J11" i="10"/>
  <c r="J13" i="48"/>
  <c r="J12" i="48"/>
  <c r="J15" i="43"/>
  <c r="I37" i="78"/>
  <c r="I43" i="78" s="1"/>
  <c r="I16" i="78"/>
  <c r="J6" i="78"/>
  <c r="J16" i="78" s="1"/>
  <c r="I40" i="78" s="1"/>
  <c r="J1" i="78"/>
  <c r="J31" i="41"/>
  <c r="J28" i="31"/>
  <c r="J12" i="62"/>
  <c r="J40" i="25"/>
  <c r="J39" i="25"/>
  <c r="J38" i="25"/>
  <c r="J21" i="18"/>
  <c r="J12" i="15"/>
  <c r="J13" i="72"/>
  <c r="I74" i="52"/>
  <c r="J28" i="52"/>
  <c r="J14" i="43"/>
  <c r="J21" i="38"/>
  <c r="J20" i="38"/>
  <c r="J12" i="37"/>
  <c r="J27" i="31"/>
  <c r="J26" i="31"/>
  <c r="J37" i="25"/>
  <c r="J36" i="25"/>
  <c r="J35" i="25"/>
  <c r="J10" i="68"/>
  <c r="J15" i="23"/>
  <c r="J16" i="20"/>
  <c r="J11" i="15"/>
  <c r="J8" i="63"/>
  <c r="J12" i="6"/>
  <c r="I14" i="64"/>
  <c r="J14" i="64"/>
  <c r="J21" i="64"/>
  <c r="J29" i="64" s="1"/>
  <c r="I29" i="64"/>
  <c r="J1" i="72"/>
  <c r="J6" i="72"/>
  <c r="J7" i="72"/>
  <c r="J8" i="72"/>
  <c r="J9" i="72"/>
  <c r="J10" i="72"/>
  <c r="J11" i="72"/>
  <c r="J12" i="72"/>
  <c r="I18" i="72"/>
  <c r="I37" i="72" s="1"/>
  <c r="I34" i="72"/>
  <c r="I42" i="72" s="1"/>
  <c r="I43" i="72" s="1"/>
  <c r="J1" i="70"/>
  <c r="J6" i="70"/>
  <c r="J7" i="70"/>
  <c r="I14" i="70"/>
  <c r="I34" i="70" s="1"/>
  <c r="I39" i="70" s="1"/>
  <c r="I31" i="70"/>
  <c r="I38" i="70" s="1"/>
  <c r="J1" i="3"/>
  <c r="J6" i="3"/>
  <c r="J7" i="3"/>
  <c r="I14" i="3"/>
  <c r="I34" i="3" s="1"/>
  <c r="I20" i="3"/>
  <c r="I31" i="3" s="1"/>
  <c r="I37" i="3" s="1"/>
  <c r="I38" i="3" s="1"/>
  <c r="I22" i="3"/>
  <c r="J1" i="52"/>
  <c r="J6" i="52"/>
  <c r="J7" i="52"/>
  <c r="J8" i="52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I36" i="52"/>
  <c r="I55" i="52"/>
  <c r="I57" i="52"/>
  <c r="I71" i="52" s="1"/>
  <c r="I76" i="52" s="1"/>
  <c r="I75" i="52"/>
  <c r="J1" i="51"/>
  <c r="J6" i="51"/>
  <c r="F7" i="51"/>
  <c r="F8" i="51" s="1"/>
  <c r="F9" i="51" s="1"/>
  <c r="F10" i="51" s="1"/>
  <c r="F11" i="51" s="1"/>
  <c r="F12" i="51" s="1"/>
  <c r="F13" i="51" s="1"/>
  <c r="F14" i="51" s="1"/>
  <c r="J7" i="51"/>
  <c r="J8" i="51"/>
  <c r="J9" i="51"/>
  <c r="J10" i="51"/>
  <c r="J11" i="51"/>
  <c r="J12" i="51"/>
  <c r="J13" i="51"/>
  <c r="J14" i="51"/>
  <c r="I16" i="51"/>
  <c r="I34" i="51" s="1"/>
  <c r="I31" i="51"/>
  <c r="I38" i="51" s="1"/>
  <c r="I35" i="51"/>
  <c r="J1" i="50"/>
  <c r="I31" i="50"/>
  <c r="I28" i="50"/>
  <c r="I35" i="50"/>
  <c r="J1" i="69"/>
  <c r="J6" i="69"/>
  <c r="J7" i="69"/>
  <c r="I16" i="69"/>
  <c r="I33" i="69" s="1"/>
  <c r="J16" i="69"/>
  <c r="I30" i="69"/>
  <c r="I34" i="69" s="1"/>
  <c r="J1" i="49"/>
  <c r="J6" i="49"/>
  <c r="J7" i="49"/>
  <c r="J8" i="49"/>
  <c r="J9" i="49"/>
  <c r="J10" i="49"/>
  <c r="J11" i="49"/>
  <c r="J12" i="49"/>
  <c r="J13" i="49"/>
  <c r="I17" i="49"/>
  <c r="I39" i="49" s="1"/>
  <c r="I48" i="49" s="1"/>
  <c r="I36" i="49"/>
  <c r="I47" i="49" s="1"/>
  <c r="I40" i="49"/>
  <c r="J1" i="48"/>
  <c r="J6" i="48"/>
  <c r="J7" i="48"/>
  <c r="J8" i="48"/>
  <c r="J9" i="48"/>
  <c r="J10" i="48"/>
  <c r="J11" i="48"/>
  <c r="I17" i="48"/>
  <c r="I44" i="48" s="1"/>
  <c r="I41" i="48"/>
  <c r="I46" i="48" s="1"/>
  <c r="J1" i="47"/>
  <c r="J6" i="47"/>
  <c r="J14" i="47" s="1"/>
  <c r="I14" i="47"/>
  <c r="I31" i="47" s="1"/>
  <c r="I21" i="47"/>
  <c r="I28" i="47" s="1"/>
  <c r="I33" i="47" s="1"/>
  <c r="I32" i="47"/>
  <c r="J1" i="46"/>
  <c r="J6" i="46"/>
  <c r="J7" i="46"/>
  <c r="J8" i="46"/>
  <c r="J9" i="46"/>
  <c r="J10" i="46"/>
  <c r="I14" i="46"/>
  <c r="I31" i="46" s="1"/>
  <c r="I49" i="46" s="1"/>
  <c r="I28" i="46"/>
  <c r="I48" i="46"/>
  <c r="J1" i="45"/>
  <c r="J6" i="45"/>
  <c r="J14" i="45" s="1"/>
  <c r="J7" i="45"/>
  <c r="I14" i="45"/>
  <c r="I22" i="45"/>
  <c r="I28" i="45"/>
  <c r="I33" i="45"/>
  <c r="I31" i="45"/>
  <c r="I32" i="45"/>
  <c r="J1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I22" i="44"/>
  <c r="I44" i="44" s="1"/>
  <c r="I41" i="44"/>
  <c r="I61" i="44" s="1"/>
  <c r="I45" i="44"/>
  <c r="J1" i="43"/>
  <c r="J6" i="43"/>
  <c r="J7" i="43"/>
  <c r="J8" i="43"/>
  <c r="J9" i="43"/>
  <c r="J10" i="43"/>
  <c r="J11" i="43"/>
  <c r="J12" i="43"/>
  <c r="J13" i="43"/>
  <c r="I18" i="43"/>
  <c r="I35" i="43" s="1"/>
  <c r="I32" i="43"/>
  <c r="I39" i="43"/>
  <c r="I36" i="43"/>
  <c r="J1" i="42"/>
  <c r="J6" i="42"/>
  <c r="J7" i="42"/>
  <c r="J8" i="42"/>
  <c r="I14" i="42"/>
  <c r="I62" i="42" s="1"/>
  <c r="I59" i="42"/>
  <c r="I78" i="42" s="1"/>
  <c r="I63" i="42"/>
  <c r="J1" i="41"/>
  <c r="J6" i="41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I37" i="41"/>
  <c r="I62" i="41" s="1"/>
  <c r="I45" i="41"/>
  <c r="J1" i="40"/>
  <c r="J6" i="40"/>
  <c r="J7" i="40"/>
  <c r="J8" i="40"/>
  <c r="I14" i="40"/>
  <c r="I35" i="40" s="1"/>
  <c r="I19" i="40"/>
  <c r="J1" i="39"/>
  <c r="J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I26" i="39"/>
  <c r="I84" i="39" s="1"/>
  <c r="I81" i="39"/>
  <c r="I101" i="39" s="1"/>
  <c r="I85" i="39"/>
  <c r="J1" i="38"/>
  <c r="J6" i="38"/>
  <c r="I7" i="38"/>
  <c r="I31" i="38" s="1"/>
  <c r="I47" i="38" s="1"/>
  <c r="J8" i="38"/>
  <c r="J9" i="38"/>
  <c r="J10" i="38"/>
  <c r="J11" i="38"/>
  <c r="J12" i="38"/>
  <c r="J13" i="38"/>
  <c r="J14" i="38"/>
  <c r="J15" i="38"/>
  <c r="J16" i="38"/>
  <c r="J17" i="38"/>
  <c r="J18" i="38"/>
  <c r="J19" i="38"/>
  <c r="I44" i="38"/>
  <c r="I55" i="38" s="1"/>
  <c r="J1" i="37"/>
  <c r="J6" i="37"/>
  <c r="J7" i="37"/>
  <c r="J8" i="37"/>
  <c r="J10" i="37"/>
  <c r="J11" i="37"/>
  <c r="I16" i="37"/>
  <c r="J16" i="37"/>
  <c r="I39" i="37" s="1"/>
  <c r="I36" i="37"/>
  <c r="I43" i="37" s="1"/>
  <c r="I40" i="37"/>
  <c r="J1" i="36"/>
  <c r="I14" i="36"/>
  <c r="I31" i="36" s="1"/>
  <c r="I20" i="36"/>
  <c r="I28" i="36" s="1"/>
  <c r="I35" i="36" s="1"/>
  <c r="J1" i="58"/>
  <c r="J6" i="58"/>
  <c r="J7" i="58"/>
  <c r="J8" i="58"/>
  <c r="J9" i="58"/>
  <c r="J10" i="58"/>
  <c r="I18" i="58"/>
  <c r="I34" i="58" s="1"/>
  <c r="I31" i="58"/>
  <c r="I38" i="58" s="1"/>
  <c r="J1" i="35"/>
  <c r="J6" i="35"/>
  <c r="J7" i="35"/>
  <c r="J8" i="35"/>
  <c r="J9" i="35"/>
  <c r="J10" i="35"/>
  <c r="J11" i="35"/>
  <c r="J12" i="35"/>
  <c r="J13" i="35"/>
  <c r="I16" i="35"/>
  <c r="J16" i="35" s="1"/>
  <c r="I34" i="35"/>
  <c r="I40" i="35" s="1"/>
  <c r="J1" i="34"/>
  <c r="J6" i="34"/>
  <c r="J7" i="34"/>
  <c r="J8" i="34"/>
  <c r="J9" i="34"/>
  <c r="J10" i="34"/>
  <c r="J11" i="34"/>
  <c r="J12" i="34"/>
  <c r="J13" i="34"/>
  <c r="I32" i="34"/>
  <c r="I43" i="34" s="1"/>
  <c r="I36" i="34"/>
  <c r="J1" i="33"/>
  <c r="J6" i="33"/>
  <c r="J7" i="33"/>
  <c r="J8" i="33"/>
  <c r="J9" i="33"/>
  <c r="I14" i="33"/>
  <c r="I40" i="33" s="1"/>
  <c r="I37" i="33"/>
  <c r="I43" i="33" s="1"/>
  <c r="I41" i="33"/>
  <c r="J1" i="32"/>
  <c r="J6" i="32"/>
  <c r="J7" i="32"/>
  <c r="J8" i="32"/>
  <c r="J9" i="32"/>
  <c r="J10" i="32"/>
  <c r="J12" i="32"/>
  <c r="J13" i="32"/>
  <c r="J14" i="32"/>
  <c r="J15" i="32"/>
  <c r="J16" i="32"/>
  <c r="J17" i="32"/>
  <c r="J18" i="32"/>
  <c r="J19" i="32"/>
  <c r="I30" i="32"/>
  <c r="I51" i="32"/>
  <c r="I37" i="32"/>
  <c r="I48" i="32" s="1"/>
  <c r="I53" i="32" s="1"/>
  <c r="J1" i="71"/>
  <c r="I25" i="71"/>
  <c r="I48" i="71" s="1"/>
  <c r="J25" i="71"/>
  <c r="I45" i="71"/>
  <c r="I52" i="71" s="1"/>
  <c r="J1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I41" i="31"/>
  <c r="I67" i="31" s="1"/>
  <c r="I49" i="31"/>
  <c r="I59" i="31"/>
  <c r="J1" i="30"/>
  <c r="J6" i="30"/>
  <c r="J7" i="30"/>
  <c r="J8" i="30"/>
  <c r="J9" i="30"/>
  <c r="J10" i="30"/>
  <c r="J11" i="30"/>
  <c r="J12" i="30"/>
  <c r="J13" i="30"/>
  <c r="J14" i="30"/>
  <c r="J15" i="30"/>
  <c r="J16" i="30"/>
  <c r="J17" i="30"/>
  <c r="I25" i="30"/>
  <c r="I49" i="30" s="1"/>
  <c r="I62" i="30" s="1"/>
  <c r="J1" i="29"/>
  <c r="J6" i="29"/>
  <c r="J7" i="29"/>
  <c r="J14" i="29" s="1"/>
  <c r="I14" i="29"/>
  <c r="I30" i="29" s="1"/>
  <c r="I27" i="29"/>
  <c r="I32" i="29"/>
  <c r="J1" i="61"/>
  <c r="J6" i="61"/>
  <c r="J14" i="61" s="1"/>
  <c r="J7" i="61"/>
  <c r="I14" i="61"/>
  <c r="I31" i="61"/>
  <c r="I28" i="61"/>
  <c r="I35" i="61" s="1"/>
  <c r="J1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I32" i="28"/>
  <c r="I54" i="28" s="1"/>
  <c r="I71" i="28" s="1"/>
  <c r="I51" i="28"/>
  <c r="I70" i="28" s="1"/>
  <c r="J1" i="27"/>
  <c r="J6" i="27"/>
  <c r="J7" i="27"/>
  <c r="J8" i="27"/>
  <c r="J9" i="27"/>
  <c r="J10" i="27"/>
  <c r="J11" i="27"/>
  <c r="I14" i="27"/>
  <c r="I39" i="27" s="1"/>
  <c r="I36" i="27"/>
  <c r="I44" i="27" s="1"/>
  <c r="J1" i="26"/>
  <c r="J6" i="26"/>
  <c r="J14" i="26" s="1"/>
  <c r="J7" i="26"/>
  <c r="J8" i="26"/>
  <c r="J9" i="26"/>
  <c r="I14" i="26"/>
  <c r="I30" i="26" s="1"/>
  <c r="I27" i="26"/>
  <c r="I33" i="26" s="1"/>
  <c r="J1" i="62"/>
  <c r="J6" i="62"/>
  <c r="J7" i="62"/>
  <c r="J8" i="62"/>
  <c r="J9" i="62"/>
  <c r="J10" i="62"/>
  <c r="J11" i="62"/>
  <c r="I18" i="62"/>
  <c r="I43" i="62" s="1"/>
  <c r="I40" i="62"/>
  <c r="I46" i="62" s="1"/>
  <c r="J1" i="67"/>
  <c r="I11" i="67"/>
  <c r="I29" i="67" s="1"/>
  <c r="J11" i="67"/>
  <c r="I26" i="67"/>
  <c r="I32" i="67" s="1"/>
  <c r="J1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I53" i="25"/>
  <c r="I76" i="25" s="1"/>
  <c r="I64" i="25"/>
  <c r="I73" i="25" s="1"/>
  <c r="I92" i="25" s="1"/>
  <c r="J1" i="66"/>
  <c r="J6" i="66"/>
  <c r="J7" i="66"/>
  <c r="J8" i="66"/>
  <c r="I12" i="66"/>
  <c r="I32" i="66" s="1"/>
  <c r="I29" i="66"/>
  <c r="I38" i="66" s="1"/>
  <c r="J1" i="75"/>
  <c r="I11" i="75"/>
  <c r="I28" i="75" s="1"/>
  <c r="J11" i="75"/>
  <c r="I25" i="75"/>
  <c r="I33" i="75" s="1"/>
  <c r="J1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I33" i="24"/>
  <c r="I68" i="24" s="1"/>
  <c r="I49" i="24"/>
  <c r="I50" i="24"/>
  <c r="I51" i="24"/>
  <c r="I54" i="24"/>
  <c r="I57" i="24"/>
  <c r="I58" i="24"/>
  <c r="I69" i="24"/>
  <c r="J1" i="60"/>
  <c r="J6" i="60"/>
  <c r="J7" i="60"/>
  <c r="J8" i="60"/>
  <c r="I14" i="60"/>
  <c r="I31" i="60" s="1"/>
  <c r="I37" i="60" s="1"/>
  <c r="I28" i="60"/>
  <c r="I36" i="60" s="1"/>
  <c r="J1" i="68"/>
  <c r="J6" i="68"/>
  <c r="J7" i="68"/>
  <c r="J8" i="68"/>
  <c r="J9" i="68"/>
  <c r="I15" i="68"/>
  <c r="I35" i="68" s="1"/>
  <c r="I32" i="68"/>
  <c r="I38" i="68" s="1"/>
  <c r="J1" i="23"/>
  <c r="J6" i="23"/>
  <c r="J7" i="23"/>
  <c r="J8" i="23"/>
  <c r="J9" i="23"/>
  <c r="J10" i="23"/>
  <c r="J11" i="23"/>
  <c r="J12" i="23"/>
  <c r="J13" i="23"/>
  <c r="J14" i="23"/>
  <c r="I23" i="23"/>
  <c r="I50" i="23" s="1"/>
  <c r="I47" i="23"/>
  <c r="I53" i="23" s="1"/>
  <c r="J1" i="65"/>
  <c r="J6" i="65"/>
  <c r="J27" i="65" s="1"/>
  <c r="J7" i="65"/>
  <c r="J8" i="65"/>
  <c r="J9" i="65"/>
  <c r="J10" i="65"/>
  <c r="J11" i="65"/>
  <c r="J12" i="65"/>
  <c r="J13" i="65"/>
  <c r="I27" i="65"/>
  <c r="I43" i="65" s="1"/>
  <c r="I40" i="65"/>
  <c r="I45" i="65" s="1"/>
  <c r="J1" i="22"/>
  <c r="I36" i="22"/>
  <c r="I25" i="22"/>
  <c r="I33" i="22" s="1"/>
  <c r="I38" i="22" s="1"/>
  <c r="I39" i="22" s="1"/>
  <c r="I37" i="22"/>
  <c r="J1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I27" i="21"/>
  <c r="I44" i="21" s="1"/>
  <c r="I41" i="21"/>
  <c r="I49" i="21" s="1"/>
  <c r="I45" i="21"/>
  <c r="J1" i="77"/>
  <c r="I14" i="77"/>
  <c r="J14" i="77"/>
  <c r="I27" i="77"/>
  <c r="I33" i="77" s="1"/>
  <c r="I30" i="77"/>
  <c r="I31" i="77"/>
  <c r="J1" i="20"/>
  <c r="J6" i="20"/>
  <c r="J7" i="20"/>
  <c r="J8" i="20"/>
  <c r="J9" i="20"/>
  <c r="J10" i="20"/>
  <c r="J11" i="20"/>
  <c r="J12" i="20"/>
  <c r="J13" i="20"/>
  <c r="J14" i="20"/>
  <c r="J15" i="20"/>
  <c r="I21" i="20"/>
  <c r="I42" i="20" s="1"/>
  <c r="I34" i="20"/>
  <c r="I39" i="20" s="1"/>
  <c r="I50" i="20" s="1"/>
  <c r="I43" i="20"/>
  <c r="J1" i="19"/>
  <c r="J6" i="19"/>
  <c r="J14" i="19" s="1"/>
  <c r="I14" i="19"/>
  <c r="I31" i="19" s="1"/>
  <c r="I34" i="19" s="1"/>
  <c r="I28" i="19"/>
  <c r="I33" i="19"/>
  <c r="I32" i="19"/>
  <c r="J1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I26" i="18"/>
  <c r="I48" i="18" s="1"/>
  <c r="I53" i="18" s="1"/>
  <c r="I37" i="18"/>
  <c r="I45" i="18" s="1"/>
  <c r="I52" i="18" s="1"/>
  <c r="J1" i="59"/>
  <c r="J6" i="59"/>
  <c r="J7" i="59"/>
  <c r="J8" i="59"/>
  <c r="J9" i="59"/>
  <c r="J10" i="59"/>
  <c r="J11" i="59"/>
  <c r="J12" i="59"/>
  <c r="I15" i="59"/>
  <c r="I31" i="59" s="1"/>
  <c r="I28" i="59"/>
  <c r="I36" i="59" s="1"/>
  <c r="I32" i="59"/>
  <c r="J1" i="17"/>
  <c r="J6" i="17"/>
  <c r="J7" i="17"/>
  <c r="J8" i="17"/>
  <c r="J9" i="17"/>
  <c r="J10" i="17"/>
  <c r="J11" i="17"/>
  <c r="J12" i="17"/>
  <c r="J13" i="17"/>
  <c r="J14" i="17"/>
  <c r="I20" i="17"/>
  <c r="I38" i="17" s="1"/>
  <c r="I25" i="17"/>
  <c r="I35" i="17" s="1"/>
  <c r="I53" i="17" s="1"/>
  <c r="I39" i="17"/>
  <c r="J1" i="16"/>
  <c r="J6" i="16"/>
  <c r="J7" i="16"/>
  <c r="J8" i="16"/>
  <c r="J9" i="16"/>
  <c r="J10" i="16"/>
  <c r="J11" i="16"/>
  <c r="J12" i="16"/>
  <c r="J13" i="16"/>
  <c r="I17" i="16"/>
  <c r="I34" i="16" s="1"/>
  <c r="I31" i="16"/>
  <c r="I37" i="16" s="1"/>
  <c r="I35" i="16"/>
  <c r="J1" i="54"/>
  <c r="J6" i="54"/>
  <c r="J7" i="54"/>
  <c r="I14" i="54"/>
  <c r="I35" i="54" s="1"/>
  <c r="I21" i="54"/>
  <c r="I32" i="54" s="1"/>
  <c r="I39" i="54" s="1"/>
  <c r="J1" i="15"/>
  <c r="J6" i="15"/>
  <c r="J7" i="15"/>
  <c r="J8" i="15"/>
  <c r="J9" i="15"/>
  <c r="J10" i="15"/>
  <c r="I16" i="15"/>
  <c r="I36" i="15" s="1"/>
  <c r="I33" i="15"/>
  <c r="I43" i="15" s="1"/>
  <c r="J1" i="74"/>
  <c r="J6" i="74"/>
  <c r="J14" i="74" s="1"/>
  <c r="J7" i="74"/>
  <c r="I14" i="74"/>
  <c r="I31" i="74" s="1"/>
  <c r="I28" i="74"/>
  <c r="I33" i="74" s="1"/>
  <c r="J1" i="55"/>
  <c r="J6" i="55"/>
  <c r="J15" i="55" s="1"/>
  <c r="I15" i="55"/>
  <c r="I34" i="55" s="1"/>
  <c r="I31" i="55"/>
  <c r="I39" i="55" s="1"/>
  <c r="J1" i="14"/>
  <c r="J6" i="14"/>
  <c r="J7" i="14"/>
  <c r="J8" i="14"/>
  <c r="J9" i="14"/>
  <c r="J10" i="14"/>
  <c r="J11" i="14"/>
  <c r="J12" i="14"/>
  <c r="J13" i="14"/>
  <c r="I15" i="14"/>
  <c r="I37" i="14" s="1"/>
  <c r="I34" i="14"/>
  <c r="I44" i="14" s="1"/>
  <c r="I45" i="14" s="1"/>
  <c r="I38" i="14"/>
  <c r="J1" i="13"/>
  <c r="I14" i="13"/>
  <c r="I31" i="13" s="1"/>
  <c r="I25" i="13"/>
  <c r="I28" i="13" s="1"/>
  <c r="I33" i="13" s="1"/>
  <c r="I32" i="13"/>
  <c r="J1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I28" i="12"/>
  <c r="I60" i="12" s="1"/>
  <c r="I57" i="12"/>
  <c r="I64" i="12" s="1"/>
  <c r="I61" i="12"/>
  <c r="J1" i="11"/>
  <c r="J6" i="11"/>
  <c r="J7" i="11"/>
  <c r="J8" i="11"/>
  <c r="I13" i="11"/>
  <c r="I30" i="11" s="1"/>
  <c r="I27" i="11"/>
  <c r="I36" i="11" s="1"/>
  <c r="I31" i="11"/>
  <c r="J1" i="63"/>
  <c r="J6" i="63"/>
  <c r="J7" i="63"/>
  <c r="I14" i="63"/>
  <c r="I31" i="63" s="1"/>
  <c r="I28" i="63"/>
  <c r="I34" i="63" s="1"/>
  <c r="J1" i="10"/>
  <c r="J6" i="10"/>
  <c r="J7" i="10"/>
  <c r="J8" i="10"/>
  <c r="J9" i="10"/>
  <c r="J10" i="10"/>
  <c r="I15" i="10"/>
  <c r="I33" i="10" s="1"/>
  <c r="I22" i="10"/>
  <c r="I30" i="10"/>
  <c r="I35" i="10" s="1"/>
  <c r="J1" i="57"/>
  <c r="J6" i="57"/>
  <c r="J14" i="57" s="1"/>
  <c r="J7" i="57"/>
  <c r="J8" i="57"/>
  <c r="I14" i="57"/>
  <c r="I30" i="57" s="1"/>
  <c r="I27" i="57"/>
  <c r="I34" i="57" s="1"/>
  <c r="J1" i="76"/>
  <c r="I14" i="76"/>
  <c r="I30" i="76" s="1"/>
  <c r="J14" i="76"/>
  <c r="I27" i="76"/>
  <c r="I35" i="76" s="1"/>
  <c r="J1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I22" i="9"/>
  <c r="I50" i="9" s="1"/>
  <c r="I47" i="9"/>
  <c r="I53" i="9" s="1"/>
  <c r="I51" i="9"/>
  <c r="J1" i="8"/>
  <c r="J6" i="8"/>
  <c r="J7" i="8"/>
  <c r="J8" i="8"/>
  <c r="J9" i="8"/>
  <c r="J10" i="8"/>
  <c r="J11" i="8"/>
  <c r="I13" i="8"/>
  <c r="I29" i="8"/>
  <c r="I26" i="8"/>
  <c r="I34" i="8" s="1"/>
  <c r="J1" i="56"/>
  <c r="I14" i="56"/>
  <c r="I31" i="56" s="1"/>
  <c r="I35" i="56" s="1"/>
  <c r="J14" i="56"/>
  <c r="I28" i="56"/>
  <c r="I34" i="56" s="1"/>
  <c r="J1" i="7"/>
  <c r="J6" i="7"/>
  <c r="J7" i="7"/>
  <c r="J8" i="7"/>
  <c r="J9" i="7"/>
  <c r="J10" i="7"/>
  <c r="I14" i="7"/>
  <c r="I30" i="7" s="1"/>
  <c r="I27" i="7"/>
  <c r="I33" i="7" s="1"/>
  <c r="J1" i="6"/>
  <c r="J6" i="6"/>
  <c r="J7" i="6"/>
  <c r="J8" i="6"/>
  <c r="J9" i="6"/>
  <c r="J10" i="6"/>
  <c r="J11" i="6"/>
  <c r="I19" i="6"/>
  <c r="I38" i="6" s="1"/>
  <c r="I25" i="6"/>
  <c r="I26" i="6"/>
  <c r="I27" i="6"/>
  <c r="I39" i="6"/>
  <c r="J1" i="5"/>
  <c r="J6" i="5"/>
  <c r="J7" i="5"/>
  <c r="J8" i="5"/>
  <c r="J9" i="5"/>
  <c r="J10" i="5"/>
  <c r="J11" i="5"/>
  <c r="J12" i="5"/>
  <c r="I14" i="5"/>
  <c r="I31" i="5"/>
  <c r="I28" i="5"/>
  <c r="I33" i="5" s="1"/>
  <c r="J1" i="4"/>
  <c r="J6" i="4"/>
  <c r="J7" i="4"/>
  <c r="J8" i="4"/>
  <c r="J9" i="4"/>
  <c r="J10" i="4"/>
  <c r="J11" i="4"/>
  <c r="J12" i="4"/>
  <c r="J13" i="4"/>
  <c r="J14" i="4"/>
  <c r="J15" i="4"/>
  <c r="J16" i="4"/>
  <c r="I36" i="4"/>
  <c r="I47" i="4" s="1"/>
  <c r="I48" i="4" s="1"/>
  <c r="J1" i="2"/>
  <c r="J6" i="2"/>
  <c r="J7" i="2"/>
  <c r="J8" i="2"/>
  <c r="I12" i="2"/>
  <c r="I33" i="2" s="1"/>
  <c r="I30" i="2"/>
  <c r="I49" i="2" s="1"/>
  <c r="J1" i="73"/>
  <c r="J6" i="73"/>
  <c r="J7" i="73"/>
  <c r="J8" i="73"/>
  <c r="J14" i="73" s="1"/>
  <c r="J9" i="73"/>
  <c r="I14" i="73"/>
  <c r="I31" i="73"/>
  <c r="I28" i="73"/>
  <c r="I36" i="73" s="1"/>
  <c r="J7" i="38" l="1"/>
  <c r="J31" i="38" s="1"/>
  <c r="I37" i="35"/>
  <c r="I34" i="75"/>
  <c r="J18" i="34"/>
  <c r="J28" i="12"/>
  <c r="J16" i="80"/>
  <c r="J13" i="8"/>
  <c r="I50" i="21"/>
  <c r="I64" i="31"/>
  <c r="I77" i="31" s="1"/>
  <c r="I78" i="31" s="1"/>
  <c r="J14" i="46"/>
  <c r="J14" i="70"/>
  <c r="I34" i="79"/>
  <c r="I37" i="73"/>
  <c r="I50" i="2"/>
  <c r="J14" i="7"/>
  <c r="I35" i="8"/>
  <c r="I44" i="37"/>
  <c r="I34" i="45"/>
  <c r="J13" i="11"/>
  <c r="I40" i="55"/>
  <c r="J15" i="68"/>
  <c r="J30" i="32"/>
  <c r="J14" i="3"/>
  <c r="I44" i="78"/>
  <c r="I36" i="81"/>
  <c r="I34" i="5"/>
  <c r="I36" i="76"/>
  <c r="J18" i="43"/>
  <c r="J14" i="63"/>
  <c r="I54" i="23"/>
  <c r="I36" i="61"/>
  <c r="I33" i="29"/>
  <c r="J17" i="48"/>
  <c r="I62" i="44"/>
  <c r="I40" i="43"/>
  <c r="J27" i="21"/>
  <c r="J15" i="10"/>
  <c r="I35" i="63"/>
  <c r="I34" i="47"/>
  <c r="I34" i="13"/>
  <c r="I36" i="36"/>
  <c r="I77" i="52"/>
  <c r="I47" i="48"/>
  <c r="I33" i="67"/>
  <c r="J14" i="5"/>
  <c r="J14" i="54"/>
  <c r="I54" i="32"/>
  <c r="J26" i="39"/>
  <c r="I54" i="17"/>
  <c r="I39" i="66"/>
  <c r="I36" i="50"/>
  <c r="J15" i="14"/>
  <c r="J20" i="17"/>
  <c r="I37" i="11"/>
  <c r="J12" i="66"/>
  <c r="I36" i="10"/>
  <c r="I35" i="57"/>
  <c r="I93" i="25"/>
  <c r="J17" i="49"/>
  <c r="J22" i="9"/>
  <c r="I34" i="26"/>
  <c r="J26" i="18"/>
  <c r="K8" i="31"/>
  <c r="J14" i="40"/>
  <c r="I40" i="54"/>
  <c r="I35" i="69"/>
  <c r="I53" i="71"/>
  <c r="J16" i="51"/>
  <c r="I56" i="38"/>
  <c r="I34" i="74"/>
  <c r="J17" i="16"/>
  <c r="I39" i="68"/>
  <c r="I79" i="42"/>
  <c r="I32" i="40"/>
  <c r="I37" i="40" s="1"/>
  <c r="I38" i="40" s="1"/>
  <c r="J18" i="58"/>
  <c r="I35" i="80"/>
  <c r="J22" i="44"/>
  <c r="I41" i="35"/>
  <c r="I38" i="16"/>
  <c r="J14" i="60"/>
  <c r="I44" i="33"/>
  <c r="J14" i="33"/>
  <c r="J32" i="28"/>
  <c r="J18" i="72"/>
  <c r="I35" i="6"/>
  <c r="I45" i="6" s="1"/>
  <c r="I46" i="6" s="1"/>
  <c r="I44" i="34"/>
  <c r="J18" i="62"/>
  <c r="I34" i="77"/>
  <c r="I47" i="62"/>
  <c r="I37" i="59"/>
  <c r="J15" i="59"/>
  <c r="I65" i="12"/>
  <c r="I44" i="15"/>
  <c r="I54" i="9"/>
  <c r="J19" i="6"/>
  <c r="J21" i="20"/>
  <c r="J53" i="25"/>
  <c r="I46" i="65"/>
  <c r="I39" i="58"/>
  <c r="K9" i="23"/>
  <c r="I59" i="41"/>
  <c r="I68" i="41" s="1"/>
  <c r="I69" i="41" s="1"/>
  <c r="J23" i="23"/>
  <c r="I45" i="27"/>
  <c r="J14" i="27"/>
  <c r="J12" i="2"/>
  <c r="J25" i="30"/>
  <c r="J16" i="15"/>
  <c r="I51" i="20"/>
  <c r="I65" i="24"/>
  <c r="I74" i="24" s="1"/>
  <c r="I75" i="24" s="1"/>
  <c r="J33" i="24"/>
  <c r="J14" i="42"/>
  <c r="I39" i="51"/>
  <c r="J37" i="41"/>
  <c r="I102" i="39"/>
  <c r="I34" i="7"/>
  <c r="J41" i="31"/>
</calcChain>
</file>

<file path=xl/sharedStrings.xml><?xml version="1.0" encoding="utf-8"?>
<sst xmlns="http://schemas.openxmlformats.org/spreadsheetml/2006/main" count="3873" uniqueCount="1657">
  <si>
    <r>
      <t>**Per Michele Risko with CEAO, transferred -$1,359,234 from Marion County on 8/8/2006                                                                            **Per Tom Lunt, revised transfer amount so that the new total is -$1,330,047.                                                                                                   **Per email from Tom Lunt on 10/29/06, added PID's 81143 and 81142 to projected use column.</t>
    </r>
    <r>
      <rPr>
        <sz val="10"/>
        <color indexed="10"/>
        <rFont val="Arial"/>
        <family val="2"/>
      </rPr>
      <t xml:space="preserve">                                                                   **Per email from Tom Lunt, PID's 22957/24005/23464/75584/75587/24057 will transfer $139,708 of their funds to Marion county to make up for the offset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**Per letter from Tom Lunt on 4/20/07, $89,447 was transferred from Pike and Hancock Counties to Marion County.     **Transferred Allen county's $64,700 to Butler, per Tom Lunt on 5/8/2007. Transferred $45908  from Marion to Butler per T. Lunt.                                                                                                                                                                </t>
    </r>
  </si>
  <si>
    <t>**$19,355 transferred from Richland to Marion on 6/14/07.** $53,183 transferred to Marion County on 10/30/07 per T.L.                                                        **on 01/29/08 Marion transfered $228,870 to Lucas as a loan ** Transfer received on 2/29/08 from Highland County in the amount of 35,787 per letter from Tom Lunt.  ** Per letter dated 4/21/08 from Tom Lunt, 27,444 transferred from Tuscarawas to Marion.** Per letter received 5/2/08 from Tom Lunt, 23,291 transferred from Perry County and 21,251 from Pike to Marion. ** Per letter received 5/5/08 from Tom Lunt, 365,446 transferred to Marion from Butler. ** Per letter dated 6/12/08 from Tom Lunt transferred 34,463 from Hancock County.   2/2/09 Lucas County Repaid Loan $228,870 to Marion County.   MAD CR 36 transfer to Marion County for $17,947 to fully repay Marion County.  Marion Loan to FAY CR 18 for $125,000 to be repaid.                                                                    **Transfer $300,000 to Richland County as stated in Agreement dated 7/8/09</t>
  </si>
  <si>
    <t>Marion Co. Loan to Fayette County 2/20/09</t>
  </si>
  <si>
    <t>Fayette County</t>
  </si>
  <si>
    <t>Delaware County</t>
  </si>
  <si>
    <t>$120,600 Transfer from DEF Co. for use on PAU-TR 8</t>
  </si>
  <si>
    <t>Transfer to PAU Co.</t>
  </si>
  <si>
    <t>Credit Sold to Pickaway County 3/17/09</t>
  </si>
  <si>
    <t>Bought credit from Morrow County 3/17/09</t>
  </si>
  <si>
    <t>Credit Purchase from Morrow County  3/12/09</t>
  </si>
  <si>
    <t>Credit Sold to Allen County 3/12/09</t>
  </si>
  <si>
    <t>SEN-TR 201-0.84</t>
  </si>
  <si>
    <t>E070755</t>
  </si>
  <si>
    <t>E035(542)</t>
  </si>
  <si>
    <t>E040(487)</t>
  </si>
  <si>
    <t>E070748</t>
  </si>
  <si>
    <t>Transfer from TRU Cnty (Reserve Pool) on 6/11/09, to be Repaid</t>
  </si>
  <si>
    <t>Transfer from AUG Cnty on 6/11/09, to be Repaid</t>
  </si>
  <si>
    <t>E050409</t>
  </si>
  <si>
    <t>Credit Bridge Program - Sponsor File</t>
  </si>
  <si>
    <t xml:space="preserve">Allen County                                                                                                          </t>
  </si>
  <si>
    <t>District 1</t>
  </si>
  <si>
    <t>A. Credit Bridges</t>
  </si>
  <si>
    <t>#</t>
  </si>
  <si>
    <t>Structure File</t>
  </si>
  <si>
    <t>Authorization Date</t>
  </si>
  <si>
    <t>County Route/Section</t>
  </si>
  <si>
    <t>Actual Costs</t>
  </si>
  <si>
    <t>Old</t>
  </si>
  <si>
    <t>0239038</t>
  </si>
  <si>
    <t>All/ TR 209/2.85</t>
  </si>
  <si>
    <t>0254010</t>
  </si>
  <si>
    <t>All/ TR 100/1.47</t>
  </si>
  <si>
    <t>Total</t>
  </si>
  <si>
    <t>B. Federal-Aid Bridge Projects</t>
  </si>
  <si>
    <t>State Job #</t>
  </si>
  <si>
    <t>PID #</t>
  </si>
  <si>
    <t>Final Voucher</t>
  </si>
  <si>
    <t>FAN #</t>
  </si>
  <si>
    <t>Credit Obligated</t>
  </si>
  <si>
    <t>017610</t>
  </si>
  <si>
    <t>094A003</t>
  </si>
  <si>
    <t>018980</t>
  </si>
  <si>
    <t>094D005</t>
  </si>
  <si>
    <t>018970</t>
  </si>
  <si>
    <t>094D006</t>
  </si>
  <si>
    <t>C. Balance of Funds</t>
  </si>
  <si>
    <t>Amount</t>
  </si>
  <si>
    <t>A.) Total Credit Bridge @ 80%</t>
  </si>
  <si>
    <t>Transfer</t>
  </si>
  <si>
    <t>B.) Total Federal-Aid Bridge Projects Obligated</t>
  </si>
  <si>
    <t>D. Remarks Concerning County Credit Bridge or Specific Projects</t>
  </si>
  <si>
    <t>Ashland County</t>
  </si>
  <si>
    <t>District 3</t>
  </si>
  <si>
    <t>New</t>
  </si>
  <si>
    <t>0334626</t>
  </si>
  <si>
    <t>ASD/TR 105/8.75</t>
  </si>
  <si>
    <t>0334634</t>
  </si>
  <si>
    <t>ASD/TR 1054/8.88</t>
  </si>
  <si>
    <t>0330078</t>
  </si>
  <si>
    <t>0330124</t>
  </si>
  <si>
    <t>ASD/TR 608/13.10</t>
  </si>
  <si>
    <t>0331015</t>
  </si>
  <si>
    <t>0331074</t>
  </si>
  <si>
    <t>ASD/TR 2475/8.30</t>
  </si>
  <si>
    <t>0330582</t>
  </si>
  <si>
    <t>0330639</t>
  </si>
  <si>
    <t>ASD/TR 827/8.30</t>
  </si>
  <si>
    <t>0336157</t>
  </si>
  <si>
    <t>ASD/TR 757/22.80</t>
  </si>
  <si>
    <t>0333743</t>
  </si>
  <si>
    <t>0333808</t>
  </si>
  <si>
    <t>ASD/TR 523/12.70</t>
  </si>
  <si>
    <t>0335207</t>
  </si>
  <si>
    <t>0335266</t>
  </si>
  <si>
    <t>ASD/TR 388/15.11</t>
  </si>
  <si>
    <t>0331104</t>
  </si>
  <si>
    <t>0331155</t>
  </si>
  <si>
    <t>ASD/TR 2724/5.90</t>
  </si>
  <si>
    <t>0335843</t>
  </si>
  <si>
    <t>0335797</t>
  </si>
  <si>
    <t>ASD/TR 581/0.90</t>
  </si>
  <si>
    <t>0331007</t>
  </si>
  <si>
    <t>0330949</t>
  </si>
  <si>
    <t>ASD/TR 2475/6.00</t>
  </si>
  <si>
    <t>039660</t>
  </si>
  <si>
    <t>F953004</t>
  </si>
  <si>
    <t>038830</t>
  </si>
  <si>
    <t>092D023</t>
  </si>
  <si>
    <t>031610</t>
  </si>
  <si>
    <t>094C032</t>
  </si>
  <si>
    <t>032690</t>
  </si>
  <si>
    <t>094B007</t>
  </si>
  <si>
    <t>032660</t>
  </si>
  <si>
    <t>095B009</t>
  </si>
  <si>
    <t>032670</t>
  </si>
  <si>
    <t>095B010</t>
  </si>
  <si>
    <t>E040436</t>
  </si>
  <si>
    <t>ASD-TR 1275-5.35</t>
  </si>
  <si>
    <t>Ashtabula County</t>
  </si>
  <si>
    <t>District 4</t>
  </si>
  <si>
    <t>0433241</t>
  </si>
  <si>
    <t>0433810</t>
  </si>
  <si>
    <t>ATB/TR 539/B Noble Rd</t>
  </si>
  <si>
    <t>0432873</t>
  </si>
  <si>
    <t>0433896</t>
  </si>
  <si>
    <t>ATB/CH 580/A 0.1</t>
  </si>
  <si>
    <t>0433535</t>
  </si>
  <si>
    <t>0433977</t>
  </si>
  <si>
    <t>ATB/415B/0.75 Hildom Rd</t>
  </si>
  <si>
    <t>0433543</t>
  </si>
  <si>
    <t>0433985</t>
  </si>
  <si>
    <t>ATB/415B/1.10 Hildom Rd</t>
  </si>
  <si>
    <t>0432768</t>
  </si>
  <si>
    <t>0433993</t>
  </si>
  <si>
    <t>ATB/415B/1.20 Hildom Rd</t>
  </si>
  <si>
    <t>0432938</t>
  </si>
  <si>
    <t>ATB/TH92A Way Rd</t>
  </si>
  <si>
    <t>0430870</t>
  </si>
  <si>
    <t>0430935</t>
  </si>
  <si>
    <t>ATB/CH33HH</t>
  </si>
  <si>
    <t>042550</t>
  </si>
  <si>
    <t>093B026</t>
  </si>
  <si>
    <t>044200</t>
  </si>
  <si>
    <t>098A001</t>
  </si>
  <si>
    <t>049130</t>
  </si>
  <si>
    <t>F983-003</t>
  </si>
  <si>
    <t>**Per Michele Risko with CEAO, transferred -$62,301 to Ashtabula County on 8/8/2006. **Per email from Tom Lunt on 10/29/06, added 79516/79518 to projected use money.</t>
  </si>
  <si>
    <t>ATB-Callendar Rd</t>
  </si>
  <si>
    <t>Athens County</t>
  </si>
  <si>
    <t>District 10</t>
  </si>
  <si>
    <t>0547018</t>
  </si>
  <si>
    <t>0547158</t>
  </si>
  <si>
    <t>ATH/TR31/0047</t>
  </si>
  <si>
    <t>0550094</t>
  </si>
  <si>
    <t>0550078</t>
  </si>
  <si>
    <t>ATH/TR55/0070</t>
  </si>
  <si>
    <t>0541516</t>
  </si>
  <si>
    <t>0541591</t>
  </si>
  <si>
    <t>ATH/TR201/0049</t>
  </si>
  <si>
    <t>0530344</t>
  </si>
  <si>
    <t>0530387</t>
  </si>
  <si>
    <t>ATH/CR1A/0109</t>
  </si>
  <si>
    <t>**Per email on 10/29/06 from Tom Lunt, added PID's 81565 and 79107 to projected use CBP.</t>
  </si>
  <si>
    <t>ATH-CR 28-0.14</t>
  </si>
  <si>
    <t>ATH-TR 189-0.001</t>
  </si>
  <si>
    <t>ATH-CR 85-1</t>
  </si>
  <si>
    <t>Auglaize County</t>
  </si>
  <si>
    <t>District 7</t>
  </si>
  <si>
    <t>0630705</t>
  </si>
  <si>
    <t>0631191</t>
  </si>
  <si>
    <t>AUG/TR 176/16.54</t>
  </si>
  <si>
    <t>0635766</t>
  </si>
  <si>
    <t>0636215</t>
  </si>
  <si>
    <t>AUG/TR 67/13.09</t>
  </si>
  <si>
    <t>0638315</t>
  </si>
  <si>
    <t>0638722</t>
  </si>
  <si>
    <t>AUG/TR 75/13.17</t>
  </si>
  <si>
    <t>0632961</t>
  </si>
  <si>
    <t>0633240</t>
  </si>
  <si>
    <t>AUG/TR 200/10.13</t>
  </si>
  <si>
    <t>077550</t>
  </si>
  <si>
    <t>AUG-CR 152-13.51</t>
  </si>
  <si>
    <t>Brown County</t>
  </si>
  <si>
    <t>District 9</t>
  </si>
  <si>
    <t>0832014</t>
  </si>
  <si>
    <t>0834963</t>
  </si>
  <si>
    <t>BRO/TR 191/0.96</t>
  </si>
  <si>
    <t>0832138</t>
  </si>
  <si>
    <t>0834955</t>
  </si>
  <si>
    <t>BRO/TR 208/2.15</t>
  </si>
  <si>
    <t>0831255</t>
  </si>
  <si>
    <t>0834971</t>
  </si>
  <si>
    <t>BRO/TR 57/5.06</t>
  </si>
  <si>
    <t>0833592</t>
  </si>
  <si>
    <t>BRO/CR 62/1.69</t>
  </si>
  <si>
    <t>0834203</t>
  </si>
  <si>
    <t>BRO/CR 313/0.86</t>
  </si>
  <si>
    <t>0830984</t>
  </si>
  <si>
    <t>BRO/TR 16/0.65</t>
  </si>
  <si>
    <t>090870</t>
  </si>
  <si>
    <t>**Per Michele Risko with CEAO, transferred $3.00 to Brown County on 8/8/2006.</t>
  </si>
  <si>
    <t>BRO-CR 42A-0.28</t>
  </si>
  <si>
    <t>BRO-CR 21-3.10/3.19</t>
  </si>
  <si>
    <t>Butler County</t>
  </si>
  <si>
    <t>District 8</t>
  </si>
  <si>
    <t>0933023</t>
  </si>
  <si>
    <t>0935166</t>
  </si>
  <si>
    <t>BUT/TR 22/4.05</t>
  </si>
  <si>
    <t>0934305</t>
  </si>
  <si>
    <t>0935611</t>
  </si>
  <si>
    <t>BUT/TR 78/3.37</t>
  </si>
  <si>
    <t>0932388</t>
  </si>
  <si>
    <t>0935581</t>
  </si>
  <si>
    <t>BUT/TR 93/2.57</t>
  </si>
  <si>
    <t>0934291</t>
  </si>
  <si>
    <t>0935603</t>
  </si>
  <si>
    <t>BUT/TR 78/3.27</t>
  </si>
  <si>
    <t>0933716</t>
  </si>
  <si>
    <t>0935212</t>
  </si>
  <si>
    <t>BUT/TR 204/3.82</t>
  </si>
  <si>
    <t>0931950</t>
  </si>
  <si>
    <t>0935123</t>
  </si>
  <si>
    <t>BUT/TR 244/2.32</t>
  </si>
  <si>
    <t>0932191</t>
  </si>
  <si>
    <t>0935565</t>
  </si>
  <si>
    <t>BUT/TR 30/5.96</t>
  </si>
  <si>
    <t>0932574</t>
  </si>
  <si>
    <t>0935638</t>
  </si>
  <si>
    <t>BUT/TR 242/1.23</t>
  </si>
  <si>
    <t>0933562</t>
  </si>
  <si>
    <t>0935573</t>
  </si>
  <si>
    <t>BUT/CR 219/2.48</t>
  </si>
  <si>
    <t>080450</t>
  </si>
  <si>
    <t>094D002</t>
  </si>
  <si>
    <t>086360</t>
  </si>
  <si>
    <t>095A016</t>
  </si>
  <si>
    <t>086400</t>
  </si>
  <si>
    <t>095A015</t>
  </si>
  <si>
    <t>084000</t>
  </si>
  <si>
    <t>093C040</t>
  </si>
  <si>
    <t>086990</t>
  </si>
  <si>
    <t>095B015</t>
  </si>
  <si>
    <t xml:space="preserve">**Per Michele Risko with CEAO, transferred -$206,710 from Butler County on 8/8/2006. *Tranferred $320,348 from Coshocton County to Butler County, per Tom Lunt, on 4/19/07. Transferred $45,098 from Marion to Butler per Tom Lunt. **Per letter dated 5/5/08 from Tom Lunt, 365,446 transferred from Butler to Marion. ** Credit bridge removed from PID# 14114 per 5/27/08 email from Tom Lunt. </t>
  </si>
  <si>
    <t>BUT-TR 138-2.50</t>
  </si>
  <si>
    <t>Clinton County</t>
  </si>
  <si>
    <t>CLI/CR 11/5.12</t>
  </si>
  <si>
    <t>CLI/CR 6/12.49</t>
  </si>
  <si>
    <t>082800</t>
  </si>
  <si>
    <t>094B012</t>
  </si>
  <si>
    <t>085110</t>
  </si>
  <si>
    <t>094B028</t>
  </si>
  <si>
    <t>088370</t>
  </si>
  <si>
    <t>TE21-G990-97</t>
  </si>
  <si>
    <t>**Per Michele Risko with CEAO, transferred $3,740 to Clinton County on 8/8/2006</t>
  </si>
  <si>
    <t>Coshocton County</t>
  </si>
  <si>
    <t>District 5</t>
  </si>
  <si>
    <t>COS/CR 41/0.71</t>
  </si>
  <si>
    <t>COS/CR 271/3.80</t>
  </si>
  <si>
    <t>COS/CR 24/0.01</t>
  </si>
  <si>
    <t>051740</t>
  </si>
  <si>
    <t>055590</t>
  </si>
  <si>
    <t>096B013</t>
  </si>
  <si>
    <t>054950</t>
  </si>
  <si>
    <t>094C035</t>
  </si>
  <si>
    <t>056700</t>
  </si>
  <si>
    <t>TE21-G990-176</t>
  </si>
  <si>
    <t>**Per Michele Risko with CEAO, transferred $105,278 to Coshocton County on 8/8/2006 (original transfer amount was $400,000). **Per Tom Lunt, on 4/19/07, transferred $320,348 to Butler County.</t>
  </si>
  <si>
    <t>Crawford County</t>
  </si>
  <si>
    <t>CRA 31/2.64</t>
  </si>
  <si>
    <t>CRA 229/2.02</t>
  </si>
  <si>
    <t>CRA 8/8.53</t>
  </si>
  <si>
    <t>CRA 49/1.73</t>
  </si>
  <si>
    <t>CRA 5/6.63</t>
  </si>
  <si>
    <t>CRA CR44/0788</t>
  </si>
  <si>
    <t>CRA LYK/T0038/0418</t>
  </si>
  <si>
    <t>CRA/TR 14/14.13</t>
  </si>
  <si>
    <t>CRA/TR 87/1.01</t>
  </si>
  <si>
    <t>CRA/TR 44/8.98</t>
  </si>
  <si>
    <t>CRA/TR 86/1.34</t>
  </si>
  <si>
    <t>CRA/TR 131/1.78</t>
  </si>
  <si>
    <t>CRA/TR 58/0229</t>
  </si>
  <si>
    <t>CRA/TR 42/0544</t>
  </si>
  <si>
    <t>CRA/TR 92/0185</t>
  </si>
  <si>
    <t>CRA/CR 132/0131</t>
  </si>
  <si>
    <t>033940</t>
  </si>
  <si>
    <t>033550</t>
  </si>
  <si>
    <t>0458029</t>
  </si>
  <si>
    <t>034690</t>
  </si>
  <si>
    <t>035080</t>
  </si>
  <si>
    <t>035800</t>
  </si>
  <si>
    <t>037640</t>
  </si>
  <si>
    <t>038200</t>
  </si>
  <si>
    <t>038270</t>
  </si>
  <si>
    <t>0931017</t>
  </si>
  <si>
    <t>038390</t>
  </si>
  <si>
    <t>093A001</t>
  </si>
  <si>
    <t>039740</t>
  </si>
  <si>
    <t>093B014</t>
  </si>
  <si>
    <t>039840</t>
  </si>
  <si>
    <t>093C020</t>
  </si>
  <si>
    <t>031510</t>
  </si>
  <si>
    <t>094C040</t>
  </si>
  <si>
    <t>032870</t>
  </si>
  <si>
    <t>095D009</t>
  </si>
  <si>
    <t>031840</t>
  </si>
  <si>
    <t>093D028</t>
  </si>
  <si>
    <t>033450</t>
  </si>
  <si>
    <t>096A007</t>
  </si>
  <si>
    <t>**Per Michele Risko with CEAO, transferred -$107,544 from Crawford County on 8/8/2006.**Added PID 24324 to projected use column, no FAN to date (12/14/06).</t>
  </si>
  <si>
    <t>CRA-TR 92-0.75</t>
  </si>
  <si>
    <t>Darke County</t>
  </si>
  <si>
    <t>DAR/TR 122/2.82</t>
  </si>
  <si>
    <t>DAR/CR 98D/3.61</t>
  </si>
  <si>
    <t>DAR/TR 134/0.93</t>
  </si>
  <si>
    <t>070520</t>
  </si>
  <si>
    <t>070470</t>
  </si>
  <si>
    <t>071020</t>
  </si>
  <si>
    <t>093A002</t>
  </si>
  <si>
    <t>070510</t>
  </si>
  <si>
    <t>071680</t>
  </si>
  <si>
    <t>093D027</t>
  </si>
  <si>
    <t>072420</t>
  </si>
  <si>
    <t>095A011</t>
  </si>
  <si>
    <t>074040</t>
  </si>
  <si>
    <t>097A003</t>
  </si>
  <si>
    <t>E040736</t>
  </si>
  <si>
    <t>**Per Michele Risko with CEAO, tranferred $18,826 to Darke County on 8/8/2006 (original transfer amount was $56,000) **Per email from Tom Lunt on 10/29/06, added PID 77274 to projected use column.</t>
  </si>
  <si>
    <t>Defiance County</t>
  </si>
  <si>
    <t>DEF/TR 100</t>
  </si>
  <si>
    <t>DEF/CR 39/7.20</t>
  </si>
  <si>
    <t>DEF/CR 39/2.80</t>
  </si>
  <si>
    <t>DEF/TR 123./1.60</t>
  </si>
  <si>
    <t>DEF/TR 113/2.90</t>
  </si>
  <si>
    <t>DEF/TR 123</t>
  </si>
  <si>
    <t>DEF/CR 117/1.93</t>
  </si>
  <si>
    <t>018190</t>
  </si>
  <si>
    <t>093C024</t>
  </si>
  <si>
    <t>018170</t>
  </si>
  <si>
    <t>093C028</t>
  </si>
  <si>
    <t>018180</t>
  </si>
  <si>
    <t>093C038</t>
  </si>
  <si>
    <t>019690</t>
  </si>
  <si>
    <t>096A010</t>
  </si>
  <si>
    <t>019670</t>
  </si>
  <si>
    <t>096A011</t>
  </si>
  <si>
    <t>019660</t>
  </si>
  <si>
    <t>096A009</t>
  </si>
  <si>
    <t>E035545</t>
  </si>
  <si>
    <t>**Per Michele Risko with CEAO, transferred $281,085 to Defiance County on 8/8/2006. **Per email from Tom Lunt on 10/29/06, added PID 75598 to projected use column. **Transferring 200,000 to Seneca County per email received from Michele Risko 2/20/08.</t>
  </si>
  <si>
    <t>Fairfield County</t>
  </si>
  <si>
    <t>FAI/TR 198/0.29</t>
  </si>
  <si>
    <t>FAI/TR 235/0.40</t>
  </si>
  <si>
    <t>FAI/TR 137/2.20</t>
  </si>
  <si>
    <t>FAI/TR 132/0.75</t>
  </si>
  <si>
    <t>051410</t>
  </si>
  <si>
    <t>051330</t>
  </si>
  <si>
    <t>06516</t>
  </si>
  <si>
    <t>BRO-2311-1</t>
  </si>
  <si>
    <t>**Per Michele Risko with CEAO, transferred -$125,695 from Fairfield County on 8/8/2006.</t>
  </si>
  <si>
    <t>Franklin County</t>
  </si>
  <si>
    <t>District 6</t>
  </si>
  <si>
    <t>FRA/CR 18/4.62</t>
  </si>
  <si>
    <t>FRA/TR 134/0.96</t>
  </si>
  <si>
    <t>FRA/TR 347/0.04</t>
  </si>
  <si>
    <t>FRA/CR 133/1.36</t>
  </si>
  <si>
    <t>065390</t>
  </si>
  <si>
    <t>BRO-2509-1</t>
  </si>
  <si>
    <t>**Per Michele Risko with CEAO, transferred -$534,356 from Franklin County on 8/8/2006 (original transfer amount was        -$100,000).</t>
  </si>
  <si>
    <t>Fulton County</t>
  </si>
  <si>
    <t>District 2</t>
  </si>
  <si>
    <t>FUL/TR 26/F3</t>
  </si>
  <si>
    <t>023640</t>
  </si>
  <si>
    <t>Geauga County</t>
  </si>
  <si>
    <t>District 12</t>
  </si>
  <si>
    <t>GEA/Agler Rd</t>
  </si>
  <si>
    <t>GEA/Gem Rd</t>
  </si>
  <si>
    <t>GEA/Geauga Lake Rd</t>
  </si>
  <si>
    <t>GEA/Woodin Dr</t>
  </si>
  <si>
    <t>GEA/Nash Rd</t>
  </si>
  <si>
    <t>GEA/Claridon Troy Rd</t>
  </si>
  <si>
    <t>GEA/Stillwell Rd</t>
  </si>
  <si>
    <t>GEA/Kile Rd</t>
  </si>
  <si>
    <t>GEA/TR 90/8</t>
  </si>
  <si>
    <t>GEA/TR 106/0.76</t>
  </si>
  <si>
    <t>GEA/TR 1/.025</t>
  </si>
  <si>
    <t>1B41002</t>
  </si>
  <si>
    <t>1A79002</t>
  </si>
  <si>
    <t>1C89002</t>
  </si>
  <si>
    <t>094B019</t>
  </si>
  <si>
    <t>094A013</t>
  </si>
  <si>
    <t>093C012</t>
  </si>
  <si>
    <t>**Per Michele Risko with CEAO, transferred $66,315 to Geauga County on 8/8/2006.</t>
  </si>
  <si>
    <t>Greene County</t>
  </si>
  <si>
    <t>GRE-CR 142-11.02</t>
  </si>
  <si>
    <t>Hancock County</t>
  </si>
  <si>
    <t>HAN/TR 51/2.91</t>
  </si>
  <si>
    <t>HAN/CR 12/10.81</t>
  </si>
  <si>
    <t>HAN/TR 49/0.88</t>
  </si>
  <si>
    <t>HAN/CR 12/7.37</t>
  </si>
  <si>
    <t>018380</t>
  </si>
  <si>
    <t>093C033</t>
  </si>
  <si>
    <t>E051328</t>
  </si>
  <si>
    <t>Henry County</t>
  </si>
  <si>
    <t>HEN/TR U/16.55</t>
  </si>
  <si>
    <t>HEN/TR 18/16.50</t>
  </si>
  <si>
    <t>HEN/TR Q1/0.80</t>
  </si>
  <si>
    <t>HEN/TR O/0.45</t>
  </si>
  <si>
    <t>HEN/TR O/0.20</t>
  </si>
  <si>
    <t>HEN/TR H/4.40</t>
  </si>
  <si>
    <t>HEN/TR H/5.60</t>
  </si>
  <si>
    <t>HEN/TR N/12.15</t>
  </si>
  <si>
    <t>HEN/TR N/15.25</t>
  </si>
  <si>
    <t>HEN/TR 11/14.45</t>
  </si>
  <si>
    <t>HEN/CR 12/6.55</t>
  </si>
  <si>
    <t>HEN/TR 15/18.10</t>
  </si>
  <si>
    <t>HEN/CR T/9.50</t>
  </si>
  <si>
    <t>HEN/TR B/10.10</t>
  </si>
  <si>
    <t>HEN/TR 4/0.10</t>
  </si>
  <si>
    <t>029670</t>
  </si>
  <si>
    <t>0317001</t>
  </si>
  <si>
    <t>024130</t>
  </si>
  <si>
    <t>029650</t>
  </si>
  <si>
    <t>094C043</t>
  </si>
  <si>
    <t>028680</t>
  </si>
  <si>
    <t>093C032</t>
  </si>
  <si>
    <t>**Per Michele Risko with CEAO, transferred -$37.00 from Henry County on 8/8/2006.** Per email from Michele Risko dated 3/12/08, transfer 374,791 to Scioto.</t>
  </si>
  <si>
    <t>Highland County</t>
  </si>
  <si>
    <t>HIG/CR 64/0.62</t>
  </si>
  <si>
    <t>HIG/CR 11/7.00</t>
  </si>
  <si>
    <t>HIG/ Pearl St</t>
  </si>
  <si>
    <t>090920</t>
  </si>
  <si>
    <t>098780</t>
  </si>
  <si>
    <t>090910</t>
  </si>
  <si>
    <t>092000</t>
  </si>
  <si>
    <t>092D011</t>
  </si>
  <si>
    <t>090890</t>
  </si>
  <si>
    <t>091540</t>
  </si>
  <si>
    <t>092020</t>
  </si>
  <si>
    <t>092D020</t>
  </si>
  <si>
    <t>097400</t>
  </si>
  <si>
    <t>095B002</t>
  </si>
  <si>
    <t>092010</t>
  </si>
  <si>
    <t>092D021</t>
  </si>
  <si>
    <t>E040847</t>
  </si>
  <si>
    <t>Transfer (Initial funds donated from Ross County)</t>
  </si>
  <si>
    <t>**Per Michele Risko with CEAO, transferred $86,703 to Highland County on 8/8/2006 (previous transfer balance was $86,703). **Per email from Tom Lunt on 10/29/06, added PID 77620 to projected use column. **Transfer to Marion County in the amount of 35,787 per letter from Tom Luny dated 2/29/08.</t>
  </si>
  <si>
    <t>Huron County</t>
  </si>
  <si>
    <t>HUR/RP 111/0.66</t>
  </si>
  <si>
    <t>HUR/BR 164/3.76</t>
  </si>
  <si>
    <t>HUR/GF 99/1.39</t>
  </si>
  <si>
    <t>HUR 85/1.87</t>
  </si>
  <si>
    <t>**Per Michele Risko with CEAO, transferred -$209,410 from Huron County on 8/8/2006. **Per email from Tom Lunt on 10/29/06, added PID 78848 to projected use column.</t>
  </si>
  <si>
    <t>HUR-CR 139-1.50</t>
  </si>
  <si>
    <t>HUR-TR 90-0.12</t>
  </si>
  <si>
    <t>Knox County</t>
  </si>
  <si>
    <t>KNO/CR 8</t>
  </si>
  <si>
    <t>KNO/CR 84/0.79</t>
  </si>
  <si>
    <t>KNO/CR 26/1.26</t>
  </si>
  <si>
    <t>KNO/CR 29/0.60</t>
  </si>
  <si>
    <t>KNO/CR 120/1.90</t>
  </si>
  <si>
    <t>KNO/TR 180/1.39</t>
  </si>
  <si>
    <t>KNO/TR 288/1.33</t>
  </si>
  <si>
    <t>KNO/TR 401/1.73</t>
  </si>
  <si>
    <t>KNO/TR 269/1.39</t>
  </si>
  <si>
    <t>KNO/TR 121/0.04</t>
  </si>
  <si>
    <t>KNO/CR 46/1.90</t>
  </si>
  <si>
    <t>KNO/CR 53/2.62</t>
  </si>
  <si>
    <t>051780</t>
  </si>
  <si>
    <t>051790</t>
  </si>
  <si>
    <t>051800</t>
  </si>
  <si>
    <t>053250</t>
  </si>
  <si>
    <t xml:space="preserve">**Per Michele Risko with CEAO, transferred $249,828 to Knox County on 8/8/2006. Per email from Michele Risko 6/17/08 transferred 305,983 to Richland. </t>
  </si>
  <si>
    <t>Licking County</t>
  </si>
  <si>
    <t>LIC/CR 539/0.99</t>
  </si>
  <si>
    <t>**Per Michele Risko with CEAO, transferred -$94,764 from Licking County on 8/8/2006.</t>
  </si>
  <si>
    <t>LIC-CR 39-2.20</t>
  </si>
  <si>
    <t>Lucas County</t>
  </si>
  <si>
    <t>TR 140 / 1.36</t>
  </si>
  <si>
    <t>E051329</t>
  </si>
  <si>
    <t>Madison County</t>
  </si>
  <si>
    <t>MAD/CR 59/0.35</t>
  </si>
  <si>
    <t>MAD/CR 131/0.30</t>
  </si>
  <si>
    <t>MAD/CR 21/3.03</t>
  </si>
  <si>
    <t>MAD/ Arbuckle Rd</t>
  </si>
  <si>
    <t>MAD/ Lafayette Plain City</t>
  </si>
  <si>
    <t>MAD/CR 77/1.33</t>
  </si>
  <si>
    <t>066800</t>
  </si>
  <si>
    <t>066790</t>
  </si>
  <si>
    <t>066890</t>
  </si>
  <si>
    <t>0924019</t>
  </si>
  <si>
    <t>066900</t>
  </si>
  <si>
    <t>068860</t>
  </si>
  <si>
    <t>066810</t>
  </si>
  <si>
    <t>**Per Michele Risko with CEAO, transferred $232,355 to Madison County on 8/8/2006.**Per email from Tom Lunt on 10/29/06, added PID 16707 to projected use column.</t>
  </si>
  <si>
    <t>MAD-CR 36-2.24</t>
  </si>
  <si>
    <t>Task Order</t>
  </si>
  <si>
    <t>MAD-CR 14-0.00</t>
  </si>
  <si>
    <t>Marion County</t>
  </si>
  <si>
    <t>MAR/CR 94C/2.74</t>
  </si>
  <si>
    <t>MAR/CR 169/5.48</t>
  </si>
  <si>
    <t>MAR/CR 41/B</t>
  </si>
  <si>
    <t>MAR/TR 166/3.37</t>
  </si>
  <si>
    <t>MAR/TR 166/3.24</t>
  </si>
  <si>
    <t>MAR/CR 67/8.30</t>
  </si>
  <si>
    <t>MAR/TR 24/A</t>
  </si>
  <si>
    <t>MAR/CR 29/H</t>
  </si>
  <si>
    <t>MAR/TR 27/K</t>
  </si>
  <si>
    <t>MAR/CR 67/R</t>
  </si>
  <si>
    <t>MAR/CR 67/L</t>
  </si>
  <si>
    <t>MAR/TR 27/A</t>
  </si>
  <si>
    <t>MAR/TR 186/B</t>
  </si>
  <si>
    <t>MAR/TR 72/B</t>
  </si>
  <si>
    <t>MAR/TR 123/L</t>
  </si>
  <si>
    <t>MAR 148/D</t>
  </si>
  <si>
    <t>MAR/TR 154/A</t>
  </si>
  <si>
    <t>068620</t>
  </si>
  <si>
    <t>E033855</t>
  </si>
  <si>
    <t>MAR-CR 141E-0.41</t>
  </si>
  <si>
    <t>MAR-CR 12C-18</t>
  </si>
  <si>
    <t>Meigs County</t>
  </si>
  <si>
    <t>MEG-CR 28/16.79</t>
  </si>
  <si>
    <t>**Per Michele Risko with CEAO, transferred -$161,920 from Meigs County on 8/8/2006.</t>
  </si>
  <si>
    <t>Mercer County</t>
  </si>
  <si>
    <t>079830</t>
  </si>
  <si>
    <t>E050(955)</t>
  </si>
  <si>
    <t>E080(649)</t>
  </si>
  <si>
    <t xml:space="preserve">**Per Michele Risko with CEAO, transferred $397,975 to Mercer County on 8/8/2006.**Per email from Tom Lunt on 10/29/06, added PID 79574 to projected use column. **Added PID's 82177/82178 to the projected use column (12/14/06). **Added 83314 to project projects list. The new balance once all money is spent is zero. </t>
  </si>
  <si>
    <t>MER-CR 131B-2.86</t>
  </si>
  <si>
    <t>MER-TR 61-25.41B</t>
  </si>
  <si>
    <t>Miami County</t>
  </si>
  <si>
    <t>MIA/CR 111/0.85</t>
  </si>
  <si>
    <t>MIA/CR 149/6.17</t>
  </si>
  <si>
    <t>MIA/TR 160/0.12</t>
  </si>
  <si>
    <t>082390</t>
  </si>
  <si>
    <t>093B020</t>
  </si>
  <si>
    <t>078420</t>
  </si>
  <si>
    <t>071890</t>
  </si>
  <si>
    <t>094A017</t>
  </si>
  <si>
    <t>072930</t>
  </si>
  <si>
    <t>095D010</t>
  </si>
  <si>
    <t>**Per Michele Risko with CEAO, transferred $64,892 to Miami County on 8/8/2006. **Per email from Marlene Tekamp on 9/21/06, adding $64,892 into projected use column for project on PID 75914.</t>
  </si>
  <si>
    <t>MIA-CR 149-6.58</t>
  </si>
  <si>
    <t>Montgomery County</t>
  </si>
  <si>
    <t>MOT/TR 63/0.88</t>
  </si>
  <si>
    <t>MOT/TR 64/0.78</t>
  </si>
  <si>
    <t>MOT/CR 38/4.84</t>
  </si>
  <si>
    <t>MOT/CR 38/6.08</t>
  </si>
  <si>
    <t>MOT/CR 23/0.90</t>
  </si>
  <si>
    <t>MOT/CR 5/2.76</t>
  </si>
  <si>
    <t>084921</t>
  </si>
  <si>
    <t>1N20002</t>
  </si>
  <si>
    <t>078870</t>
  </si>
  <si>
    <t>071030</t>
  </si>
  <si>
    <t>1Q40006</t>
  </si>
  <si>
    <t>**Per Michele Risko with CEAO, transferred $4,446 to Montgomery County on 8/8/2006.</t>
  </si>
  <si>
    <t>MOT-CR 78-1.97</t>
  </si>
  <si>
    <t xml:space="preserve">Morgan County </t>
  </si>
  <si>
    <t>MRG/CR 11/N464</t>
  </si>
  <si>
    <t>MRG/TR 243/0.69</t>
  </si>
  <si>
    <t>MRG/CR 45/E0.62</t>
  </si>
  <si>
    <t>MRG/CR 11/N2.77</t>
  </si>
  <si>
    <t>FY95001</t>
  </si>
  <si>
    <t>F973033</t>
  </si>
  <si>
    <t>096B015</t>
  </si>
  <si>
    <t>E050201</t>
  </si>
  <si>
    <t>**Per Michele Risko with CEAO, transferred $36,207 to Morgan County on 8/8/2006 (original transfer amount was              -$100,000). **Per email from Tom Lunt on 10/29/06, added PID's 80920 and 80921 to projected use column.</t>
  </si>
  <si>
    <t>Morrow County</t>
  </si>
  <si>
    <t>MRW/CR 212/Bennington</t>
  </si>
  <si>
    <t>MRW/CR 59/Cannan</t>
  </si>
  <si>
    <t>MRW/CR 67/Cannan</t>
  </si>
  <si>
    <t>MRW/CR 172/Chester</t>
  </si>
  <si>
    <t>MRW/CR 165/Peru</t>
  </si>
  <si>
    <t>MRW/CR 149/Westfield</t>
  </si>
  <si>
    <t>MRW/CR 50/N Bloomfield</t>
  </si>
  <si>
    <t>MRW/CR 183/ Chester</t>
  </si>
  <si>
    <t>061780</t>
  </si>
  <si>
    <t>TE21-G990-21</t>
  </si>
  <si>
    <t>Credit Sold to Richland County 11/24/98</t>
  </si>
  <si>
    <t>**Per Michele Risko with CEAO, transferred $485,523 to Morrow County on 8/8/2006 (original transfer amount was -$250,000)</t>
  </si>
  <si>
    <t>MRW-CR 146-0.28 Const.</t>
  </si>
  <si>
    <t>MRW-CR 15-5.12</t>
  </si>
  <si>
    <t>Muskingum County</t>
  </si>
  <si>
    <t>MUS/CR 199/3.20</t>
  </si>
  <si>
    <t>MUS/CR 52/2.59</t>
  </si>
  <si>
    <t>MUS/TR 136/1.95</t>
  </si>
  <si>
    <t>056750</t>
  </si>
  <si>
    <t>STP-F983-54</t>
  </si>
  <si>
    <t>**Per Michele Risko with CEAO, transferred -$67,995 from Muskingum County on 8/8/2006.</t>
  </si>
  <si>
    <t>Paulding County</t>
  </si>
  <si>
    <t>PAU/CR 107/5.79</t>
  </si>
  <si>
    <t>PAU/TR 24/13.52</t>
  </si>
  <si>
    <t>094C033</t>
  </si>
  <si>
    <t>018860</t>
  </si>
  <si>
    <t>094C030</t>
  </si>
  <si>
    <t>018870</t>
  </si>
  <si>
    <t>BRO-94C-24</t>
  </si>
  <si>
    <t>010460</t>
  </si>
  <si>
    <t>096D004</t>
  </si>
  <si>
    <t>Transfers</t>
  </si>
  <si>
    <t>Perry County</t>
  </si>
  <si>
    <t>PER CR 11/2.30</t>
  </si>
  <si>
    <t>PER CR 20/1.90</t>
  </si>
  <si>
    <t>PER CR 37/0.90</t>
  </si>
  <si>
    <t>PER CR 86/1.60</t>
  </si>
  <si>
    <t>054630</t>
  </si>
  <si>
    <t xml:space="preserve">**Per Michele Risko with CEAO, transferred -$46,784 from Perry County on 8/8/2006. ** Per letter dated 5/2/08 from Tom Lunt, transfer of 23,291 to Marion. </t>
  </si>
  <si>
    <t>Pickaway County</t>
  </si>
  <si>
    <t>PIC/TR 133/1.54</t>
  </si>
  <si>
    <t>PIC/TR 169/0.18</t>
  </si>
  <si>
    <t>8/8/2006- Made adjustments to Pickaway County's total balance of funds, new amount is $120,524 per previous balanced spreadsheets before the program ended.**Per email from Tom Lunt on 10/29/06, added PID 77235 to projected use column.</t>
  </si>
  <si>
    <t>Pike County</t>
  </si>
  <si>
    <t>PIK/TR 243/0.04</t>
  </si>
  <si>
    <t>PIK/CR 66/6.03</t>
  </si>
  <si>
    <t>PIK/CR 34/3.32</t>
  </si>
  <si>
    <t>PIK/CR 37/1.99</t>
  </si>
  <si>
    <t>PIK/CR 37/3.22</t>
  </si>
  <si>
    <t>PIK/CR 70/2.81</t>
  </si>
  <si>
    <t>PIK/CR 66/4.63</t>
  </si>
  <si>
    <t>PIK/CR 45/1.56</t>
  </si>
  <si>
    <t>090560</t>
  </si>
  <si>
    <t>090550</t>
  </si>
  <si>
    <t>092580</t>
  </si>
  <si>
    <t>093C010</t>
  </si>
  <si>
    <t>091370</t>
  </si>
  <si>
    <t>093310</t>
  </si>
  <si>
    <t>094C024</t>
  </si>
  <si>
    <t>094C023</t>
  </si>
  <si>
    <t>093230</t>
  </si>
  <si>
    <t>094B020</t>
  </si>
  <si>
    <t>093220</t>
  </si>
  <si>
    <t>094B021</t>
  </si>
  <si>
    <t>093590</t>
  </si>
  <si>
    <t>096A001</t>
  </si>
  <si>
    <t>093640</t>
  </si>
  <si>
    <t>096A005</t>
  </si>
  <si>
    <t>097N008</t>
  </si>
  <si>
    <t>093580</t>
  </si>
  <si>
    <t>096A002</t>
  </si>
  <si>
    <t>E050357</t>
  </si>
  <si>
    <t>E050368</t>
  </si>
  <si>
    <t>E040748</t>
  </si>
  <si>
    <t xml:space="preserve">**Per Michele Risko with CEAO, transferred $185,194 to Pike County on 8/8/2006. **8/21/2006: Adjusted CB obligated amount on PID 17149 to $38,840 from $224,027, new total of $591,222. **Per Tom Lunt, adjusted transfer amount for Pike County so that new total is $7. **Per email from Tom Lunt on 10/29/06, added PID'S 78998, 78983, 78992, and 78991 to projected use column.**Per letters from Tom Lunt on 4/20/07, transferred $15,003 from Pike to Marion County.**Transferred $53,183 to Marion County per Tom Lunt, on 12/30/2007.** Per letter dated 5/2/08 from Tom Lunt, transfer 21,250 to Marion. </t>
  </si>
  <si>
    <t>PIK-CR 36-0.45</t>
  </si>
  <si>
    <t>Portage County</t>
  </si>
  <si>
    <t>049290</t>
  </si>
  <si>
    <t>Donated funds from Stark County</t>
  </si>
  <si>
    <t>Preble County</t>
  </si>
  <si>
    <t>PRE/CR 15/1.65</t>
  </si>
  <si>
    <t>PRE/CR 56/5.02</t>
  </si>
  <si>
    <t>PRE/TR 208/1.7</t>
  </si>
  <si>
    <t>081600</t>
  </si>
  <si>
    <t>-</t>
  </si>
  <si>
    <t>E051-352</t>
  </si>
  <si>
    <t>**Per Michele Risko with CEAO, transferred -$166,221 from Preble County on 8/8/2006. **Per email from Tom Lunt on 10/29/06, added PID 79722 to projected use column.**PID 79722 was obligated on 9/24/07</t>
  </si>
  <si>
    <t>Richland County</t>
  </si>
  <si>
    <t>039760</t>
  </si>
  <si>
    <t>093B025</t>
  </si>
  <si>
    <t>039790</t>
  </si>
  <si>
    <t>093B023</t>
  </si>
  <si>
    <t>039800</t>
  </si>
  <si>
    <t>093B028</t>
  </si>
  <si>
    <t>039780</t>
  </si>
  <si>
    <t>093B027</t>
  </si>
  <si>
    <t>030300</t>
  </si>
  <si>
    <t>093D021</t>
  </si>
  <si>
    <t>030280</t>
  </si>
  <si>
    <t>093D032</t>
  </si>
  <si>
    <t>n/a</t>
  </si>
  <si>
    <t>E036-151</t>
  </si>
  <si>
    <t>E050(407)</t>
  </si>
  <si>
    <t>E040(499)</t>
  </si>
  <si>
    <t>E050(408)</t>
  </si>
  <si>
    <r>
      <t xml:space="preserve">**Per Michele Risko with CEAO, transferred -$43,309 from Richland County on 8/8/2006 (original transfer amount was $493,000). </t>
    </r>
    <r>
      <rPr>
        <sz val="10"/>
        <color indexed="10"/>
        <rFont val="Arial"/>
        <family val="2"/>
      </rPr>
      <t xml:space="preserve">**Per email from Tom Lunt, PID 22957 will transfer $17,202 of their funds to Marion county to make up for the offset.**PER email from Tom Lunt on 6/14/07, transferred $19,355 from Richland to Marion County. </t>
    </r>
    <r>
      <rPr>
        <sz val="10"/>
        <rFont val="Arial"/>
        <family val="2"/>
      </rPr>
      <t xml:space="preserve">**Per transfer request dated 6/17/08 from Michele Risko - Knox County transfer 305,983 to Richland. </t>
    </r>
  </si>
  <si>
    <t>RIC-CR 320-2.43</t>
  </si>
  <si>
    <t>RIC-CR 175-4.62</t>
  </si>
  <si>
    <t>RIC-TR 36-0.68</t>
  </si>
  <si>
    <t>RIC-TR 90-8.99</t>
  </si>
  <si>
    <t>Ross County</t>
  </si>
  <si>
    <t>ROS/TR 144/4.66</t>
  </si>
  <si>
    <t>ROS/TR 170/2.54</t>
  </si>
  <si>
    <t>ROS/TR 183/8.30</t>
  </si>
  <si>
    <t>ROS/TR 298/0.03</t>
  </si>
  <si>
    <t>ROS/TR 47/4.02</t>
  </si>
  <si>
    <t>ROS/TR 94/1.94</t>
  </si>
  <si>
    <t>ROS/TR 230/2.11</t>
  </si>
  <si>
    <t>090980</t>
  </si>
  <si>
    <t>091530</t>
  </si>
  <si>
    <t>095C005</t>
  </si>
  <si>
    <t>Credit Donated to Highland County</t>
  </si>
  <si>
    <t xml:space="preserve">**Per Michele Risko with CEAO, transferred -$197,485 from Ross County on 8/8/2006 (original amount was -$17,852). </t>
  </si>
  <si>
    <t>ROS-CR 600-3.06</t>
  </si>
  <si>
    <t>Scioto County</t>
  </si>
  <si>
    <t>SCI/CR 18/11.90</t>
  </si>
  <si>
    <t>SCI/CR 181/0.15</t>
  </si>
  <si>
    <t>SCI/CR 40/4.15</t>
  </si>
  <si>
    <t>SCI/CR 4.30</t>
  </si>
  <si>
    <t>SCI/CR 230/0.60</t>
  </si>
  <si>
    <t>SCI/CR 30/0.40</t>
  </si>
  <si>
    <t>SCI/CR 2/12.62</t>
  </si>
  <si>
    <t>092120</t>
  </si>
  <si>
    <t>092D003</t>
  </si>
  <si>
    <t>092090</t>
  </si>
  <si>
    <t>092D002</t>
  </si>
  <si>
    <t>092100</t>
  </si>
  <si>
    <t>TE21-G991-003</t>
  </si>
  <si>
    <t>E060783</t>
  </si>
  <si>
    <t>**Per Michele Risko with CEAO, transferred -$79,349 from Scioto County on 8/8/2006.**Per email from Tom Lunt on 10/29/06, added PID 78360 to projected use column. **Per email from Michele Risko dated 3/12/08 transfer from Henry in the amount of 374,791.</t>
  </si>
  <si>
    <t xml:space="preserve">Seneca County </t>
  </si>
  <si>
    <t>**Transferring 200,000 to Seneca County per email received from Michele Risko 2/20/08.</t>
  </si>
  <si>
    <t>SEN-CR 7-4.00</t>
  </si>
  <si>
    <t>SEN-CR 42-2.69</t>
  </si>
  <si>
    <t>Shelby County</t>
  </si>
  <si>
    <t>SHE/CR 19/10.28</t>
  </si>
  <si>
    <t>SHE/CR 96/2.40</t>
  </si>
  <si>
    <t>SHE/TR 140/6.12</t>
  </si>
  <si>
    <t>SHE/TR 17/0.36</t>
  </si>
  <si>
    <t>SHE/CR 14/6.44</t>
  </si>
  <si>
    <t>070540</t>
  </si>
  <si>
    <t>073990</t>
  </si>
  <si>
    <t>TE21-G990-11</t>
  </si>
  <si>
    <t>G020-589</t>
  </si>
  <si>
    <t>Stark County</t>
  </si>
  <si>
    <t>STA/TR 335A/0.90</t>
  </si>
  <si>
    <t>040920</t>
  </si>
  <si>
    <t>E036(390)</t>
  </si>
  <si>
    <t>Credit Donated from Portage County</t>
  </si>
  <si>
    <r>
      <t xml:space="preserve">Federal Aid Bridge Project #1 was added on 5/31/2006 per email from Steve Rebillot requesting $104,400 be used for PID 81282, email on file. Project was added to </t>
    </r>
    <r>
      <rPr>
        <i/>
        <sz val="10"/>
        <rFont val="Arial"/>
        <family val="2"/>
      </rPr>
      <t>projected to use</t>
    </r>
    <r>
      <rPr>
        <sz val="10"/>
        <rFont val="Arial"/>
        <family val="2"/>
      </rPr>
      <t>CB money below in italics. **Per Michele Risko with CEAO, transferred $470,320 to Stark County on 8/8/2006 (original transfer amount was -$230,178). **Per email from Tom Lunt on 10/29/06, added PID 25842 to projected use column.</t>
    </r>
  </si>
  <si>
    <t>STA-Price St (CR 3)</t>
  </si>
  <si>
    <t>STA-Broadway (CR 199)</t>
  </si>
  <si>
    <t>Trumbull County</t>
  </si>
  <si>
    <t>E034-001</t>
  </si>
  <si>
    <t>TRU-Fairport St</t>
  </si>
  <si>
    <t>TRU-West Park Ave</t>
  </si>
  <si>
    <t>Tuscarawas County</t>
  </si>
  <si>
    <t>District 11</t>
  </si>
  <si>
    <t>TUS/CR 22/31</t>
  </si>
  <si>
    <t>TUS/CR 32/50</t>
  </si>
  <si>
    <t>TUS/MIL CR62/79</t>
  </si>
  <si>
    <t>TUS/SAL/CR14/25</t>
  </si>
  <si>
    <t>TUS/DOV/CR 21/101</t>
  </si>
  <si>
    <t>093B024</t>
  </si>
  <si>
    <t>E035-491</t>
  </si>
  <si>
    <t>E035-540</t>
  </si>
  <si>
    <t>TUS-TR 425-2.99</t>
  </si>
  <si>
    <t>TUS-CR 1-3.40</t>
  </si>
  <si>
    <t>Vinton County</t>
  </si>
  <si>
    <t>VIN/TR 4V/0.01</t>
  </si>
  <si>
    <t>VIN/TR 18B/0.80</t>
  </si>
  <si>
    <t>VIN/TR 1B/0.42</t>
  </si>
  <si>
    <t>VIN/TR18L/1.00</t>
  </si>
  <si>
    <t>Tranfers</t>
  </si>
  <si>
    <t>Washington County</t>
  </si>
  <si>
    <t>WAS/TR 246/2.28</t>
  </si>
  <si>
    <t>WAS/TR 32/0.55</t>
  </si>
  <si>
    <t>WAS/CR 14/6.71</t>
  </si>
  <si>
    <t>WAS/TR 70/1.29</t>
  </si>
  <si>
    <t>WAS/TR 349/0.22</t>
  </si>
  <si>
    <t>WAS/TR 24/5.24</t>
  </si>
  <si>
    <t>WAS/TR 38/1.95</t>
  </si>
  <si>
    <t>WAS/TR 238/0.25</t>
  </si>
  <si>
    <t>WAS/TR 282/0.22</t>
  </si>
  <si>
    <t>**Per Michele Risko with CEAO, transferred -$57,907 from Washington County on 8/8/2006 (original transfer amount was      -$110,305). **Per email from Tom Lunt on 10/29/06, added PID 81563 to projected use column.</t>
  </si>
  <si>
    <t>WAS-CR 14-0.06</t>
  </si>
  <si>
    <t>WAS-CR 14-3.61</t>
  </si>
  <si>
    <t>Wayne County</t>
  </si>
  <si>
    <t>WAY/CR 228/1.00</t>
  </si>
  <si>
    <t>WAY/CR 416/0.10</t>
  </si>
  <si>
    <t>WAY/CR 59/0.69</t>
  </si>
  <si>
    <t>WAY/CR 226/1.56</t>
  </si>
  <si>
    <t>WAY/CR 501/1.97</t>
  </si>
  <si>
    <t>WAY/CR 176/1.40</t>
  </si>
  <si>
    <t>WAY/CR 225/0.76</t>
  </si>
  <si>
    <t>WAY/CR 157/0.63</t>
  </si>
  <si>
    <t>WAY/CR 16/3.80</t>
  </si>
  <si>
    <t>WAY/CR 22/2.40</t>
  </si>
  <si>
    <t>WAY/CR 186/0.90</t>
  </si>
  <si>
    <t>WAY/CR 261/1.11</t>
  </si>
  <si>
    <t>WAY/CR 109/1.87</t>
  </si>
  <si>
    <t>WAY/CR 179/0.21</t>
  </si>
  <si>
    <t>WAY/CR 75/1.74</t>
  </si>
  <si>
    <t>WAY/CR 197/1.01</t>
  </si>
  <si>
    <t>WAY/CR 149/5.34</t>
  </si>
  <si>
    <t>WAY/CR 116/1.86</t>
  </si>
  <si>
    <t>WAY/CR 35/0.37</t>
  </si>
  <si>
    <t>WAY/CR 35/0.43</t>
  </si>
  <si>
    <t>WAY/CR 163/5.12</t>
  </si>
  <si>
    <t>WAY/CR 158/0.83</t>
  </si>
  <si>
    <t>031430</t>
  </si>
  <si>
    <t>4E08001</t>
  </si>
  <si>
    <t>034280</t>
  </si>
  <si>
    <t>035540</t>
  </si>
  <si>
    <t>6G01001</t>
  </si>
  <si>
    <t>036760</t>
  </si>
  <si>
    <t>034740</t>
  </si>
  <si>
    <t>036710</t>
  </si>
  <si>
    <t>0931003</t>
  </si>
  <si>
    <t>038950</t>
  </si>
  <si>
    <t>092D018</t>
  </si>
  <si>
    <t>038960</t>
  </si>
  <si>
    <t>092D019</t>
  </si>
  <si>
    <t>038920</t>
  </si>
  <si>
    <t>092D017</t>
  </si>
  <si>
    <t>038210</t>
  </si>
  <si>
    <t>095C001</t>
  </si>
  <si>
    <t>031080</t>
  </si>
  <si>
    <t>094B025</t>
  </si>
  <si>
    <t>031470</t>
  </si>
  <si>
    <t>094C041</t>
  </si>
  <si>
    <t>031090</t>
  </si>
  <si>
    <t>031540</t>
  </si>
  <si>
    <t>094C039</t>
  </si>
  <si>
    <t>031460</t>
  </si>
  <si>
    <t>094C042</t>
  </si>
  <si>
    <t>**Per Michele Risko with CEAO, transferred $406,201 to Wayne County on 8/8/2006 (original transfer amount was $110,305).</t>
  </si>
  <si>
    <t>WAY-M0004-1.57</t>
  </si>
  <si>
    <t>WAY-CR 70-1.87</t>
  </si>
  <si>
    <t>WAY-CR 228-0.73</t>
  </si>
  <si>
    <t>WAY-CR 86-3.11</t>
  </si>
  <si>
    <t>WAY-TR 124-1.11</t>
  </si>
  <si>
    <t>Williams County</t>
  </si>
  <si>
    <t>WIL/TR 206</t>
  </si>
  <si>
    <t>029290</t>
  </si>
  <si>
    <t>094A014</t>
  </si>
  <si>
    <t>027280</t>
  </si>
  <si>
    <t>097B001</t>
  </si>
  <si>
    <t>E060-382</t>
  </si>
  <si>
    <r>
      <t>**Per Michele Risko with CEAO, transferred $247,076 to Williams County on 8/8/2006.**Per email from Tom Lunt on 10/29/06, added PID 81361 to projected use column.</t>
    </r>
    <r>
      <rPr>
        <sz val="10"/>
        <color indexed="10"/>
        <rFont val="Arial"/>
        <family val="2"/>
      </rPr>
      <t>**Per email from Tom Lunt, PID 24057 will transfer $36,697 of their funds to Marion county to make up for the offset.</t>
    </r>
  </si>
  <si>
    <t>WIL-CR 309-0.38</t>
  </si>
  <si>
    <t>PAU-TR 8-9.00</t>
  </si>
  <si>
    <t>Transfer from Marion County 12/12/08</t>
  </si>
  <si>
    <t>Transfer to Pickaway County 12/12/08</t>
  </si>
  <si>
    <t>DEF-CR 134-5.82</t>
  </si>
  <si>
    <t>DEF-TR 138-2.50</t>
  </si>
  <si>
    <t>Rehab</t>
  </si>
  <si>
    <t xml:space="preserve"> - 01/29/08, received $228,870.00 from Marion as a loan                                                                                          2/2/09, repaid $228,870 to Marion County</t>
  </si>
  <si>
    <t>PIK-TR 315-0.60</t>
  </si>
  <si>
    <t>Transfer to Allen Co.</t>
  </si>
  <si>
    <t>Belmont County</t>
  </si>
  <si>
    <t>E050(195)</t>
  </si>
  <si>
    <t>Clark County</t>
  </si>
  <si>
    <t>80% Credit</t>
  </si>
  <si>
    <t>CLA-VAR BR LR's</t>
  </si>
  <si>
    <t>E040533</t>
  </si>
  <si>
    <t>E070749</t>
  </si>
  <si>
    <t>WAY-TR 129-5.35</t>
  </si>
  <si>
    <t>WAY-CR 60-0.83</t>
  </si>
  <si>
    <t>AUG-CR 168-3.48</t>
  </si>
  <si>
    <t>CLA-CR 351-3.03/3.04</t>
  </si>
  <si>
    <t>LUC-CR 86-3.29</t>
  </si>
  <si>
    <t>Transfer to Henry Co. to repay loan</t>
  </si>
  <si>
    <t>Transfer to Pike County 10/1/09</t>
  </si>
  <si>
    <t>Future Transfer to Pike County 10/1/10</t>
  </si>
  <si>
    <t>Transfer from Vinton County 10/1/09</t>
  </si>
  <si>
    <t>80% Costs</t>
  </si>
  <si>
    <t>Transfer to Miami County 10/21/09</t>
  </si>
  <si>
    <t>Transfer from Marion County 10/21/09</t>
  </si>
  <si>
    <t>Transfer to Richland County 7/8/09</t>
  </si>
  <si>
    <t>Purchase of Credit from Marion County 7/8/09</t>
  </si>
  <si>
    <t>E080643</t>
  </si>
  <si>
    <t>N122(09)</t>
  </si>
  <si>
    <t>E070602</t>
  </si>
  <si>
    <t>MIA-CR 14-0.00</t>
  </si>
  <si>
    <t>Transfer from HAN Cnty to TRU Cnty on 11/24/09 to Repay Loan</t>
  </si>
  <si>
    <t>$118,957 Credit Transferred from Madison County on 2/11/09 for use on Enhancement Project.</t>
  </si>
  <si>
    <t>PIK-TR 338-2.33</t>
  </si>
  <si>
    <t>PER-TR 185</t>
  </si>
  <si>
    <t>MIA-TR 19-0.92</t>
  </si>
  <si>
    <t>Transfer from Scioto County to repay loan</t>
  </si>
  <si>
    <t>E070281</t>
  </si>
  <si>
    <t>80% Cost</t>
  </si>
  <si>
    <t>Transfer to Marion County to repay loan 2/11/10</t>
  </si>
  <si>
    <t>Loan from Marion County</t>
  </si>
  <si>
    <t>Fayette County repaid loan 2/11/10</t>
  </si>
  <si>
    <t>Ottawa County</t>
  </si>
  <si>
    <t>E080(639)</t>
  </si>
  <si>
    <t>E060(444)</t>
  </si>
  <si>
    <t>E080(645)</t>
  </si>
  <si>
    <t>SEN-CR 34-2.41</t>
  </si>
  <si>
    <t>LUC-Monclova Rd</t>
  </si>
  <si>
    <t>RIC-CR 77-3.49</t>
  </si>
  <si>
    <t>RIC-TR 137-0.30</t>
  </si>
  <si>
    <t>PIK-CR 28-4.26</t>
  </si>
  <si>
    <t>Bridge Load Rating</t>
  </si>
  <si>
    <t>Bridge Load Ratings</t>
  </si>
  <si>
    <t>GALLIA COUNTY</t>
  </si>
  <si>
    <t>Jefferson County</t>
  </si>
  <si>
    <t>Medina County</t>
  </si>
  <si>
    <t>KNO-CR 8/23/57</t>
  </si>
  <si>
    <t>E080(088)</t>
  </si>
  <si>
    <t>E070(344)</t>
  </si>
  <si>
    <t>E080431</t>
  </si>
  <si>
    <t>E080946</t>
  </si>
  <si>
    <t>E070447</t>
  </si>
  <si>
    <t>E081107</t>
  </si>
  <si>
    <t>E080642</t>
  </si>
  <si>
    <t>E080650</t>
  </si>
  <si>
    <t>E071135</t>
  </si>
  <si>
    <t>JEF-CR 75-4.82</t>
  </si>
  <si>
    <t>JEF-CR 75A-0.15</t>
  </si>
  <si>
    <t>E080(419)</t>
  </si>
  <si>
    <t>E033623</t>
  </si>
  <si>
    <t>E080459</t>
  </si>
  <si>
    <t>E080010</t>
  </si>
  <si>
    <t>E050948</t>
  </si>
  <si>
    <t>E100229</t>
  </si>
  <si>
    <t>Transfer $24,289 from BRO-CR 24-5.26, PID 75721 to Shelby Co. for Reserve</t>
  </si>
  <si>
    <t>Transfer to SHE Co. Reserve</t>
  </si>
  <si>
    <r>
      <t xml:space="preserve">Per email from Donna Slagle on 6/5/2006, Federal Aid Bridge Project #3 was added and credit was obligated to a max of $94,807.00, project was added to program projects </t>
    </r>
    <r>
      <rPr>
        <i/>
        <sz val="10"/>
        <rFont val="Arial"/>
        <family val="2"/>
      </rPr>
      <t>projected to use</t>
    </r>
    <r>
      <rPr>
        <sz val="10"/>
        <rFont val="Arial"/>
        <family val="2"/>
      </rPr>
      <t xml:space="preserve"> CB money and notes were made in Ellis. **Per Michele Risko with CEAO, transferred $1.00 to Shelby County on 8/8/2006.**Removed PID 24005 from projected use per email from Donna Slagle.**Per email from Tom Lunt, PID 24005 will transfer $48,659 of their funds to Marion county to make up for the offset.</t>
    </r>
  </si>
  <si>
    <t>Transfer from BRO-CR 24-5.26, PID 75721</t>
  </si>
  <si>
    <t>Transfer from TRU-West Park Avenue, PID 23460</t>
  </si>
  <si>
    <t>Transfer from TRU-Fairport, PID 23982</t>
  </si>
  <si>
    <t>BRO-CR 24-5.26</t>
  </si>
  <si>
    <t>KNO-25-242-Liberty</t>
  </si>
  <si>
    <t>GAL-CR 20-9.37</t>
  </si>
  <si>
    <t>Lucas County Repaid Loan 2/2/09</t>
  </si>
  <si>
    <t>Transfer from Richland County 7/27/10</t>
  </si>
  <si>
    <t>Transfer to Crawford County 7/27/10</t>
  </si>
  <si>
    <t>LIC-TR 232-0.00</t>
  </si>
  <si>
    <t>0931179</t>
  </si>
  <si>
    <t>8x8 box culvert</t>
  </si>
  <si>
    <t>MIA-CR 81-2.21</t>
  </si>
  <si>
    <t>**Per Michele Risko with CEAO, transferred $146,063 to Trumbull County on 8/8/2006.**Per email from Tom Lunt, PID 23464 will transfer $20,000 of their funds to Marion county to make up for the offset.  Transferred $94,710 to Hancock County on 6/11/09, to be repaid by Hancock County.   Transferred $94,710 from Hancock County on 11/24/09 to repay Loan.</t>
  </si>
  <si>
    <t>Transfer to Allen County 8/25/10</t>
  </si>
  <si>
    <t>Transfer from Fulton County  8/30/10</t>
  </si>
  <si>
    <r>
      <t>Transferred $1.00 to Tuscarawas County on 8/8/2006.</t>
    </r>
    <r>
      <rPr>
        <sz val="10"/>
        <color indexed="10"/>
        <rFont val="Arial"/>
        <family val="2"/>
      </rPr>
      <t xml:space="preserve">**Per email from Tom Lunt, PID 75584 and 75587 will transfer $9897 and $7253 of their funds to Marion county to make up for the offset. </t>
    </r>
    <r>
      <rPr>
        <sz val="10"/>
        <rFont val="Arial"/>
        <family val="2"/>
      </rPr>
      <t xml:space="preserve">**Per letter dated 4/21/08 from Tom Lunt, 27,444 transferred from Tuscarawas to Marion. </t>
    </r>
  </si>
  <si>
    <t>JEF-CR 74-1.91</t>
  </si>
  <si>
    <t>Transfer from Vinton County 10/1/10</t>
  </si>
  <si>
    <t>PER-CR 23/TR 169</t>
  </si>
  <si>
    <t>FAY-CR 28-0.30</t>
  </si>
  <si>
    <t>ATH-CR 1A/CR 45</t>
  </si>
  <si>
    <t>Bridge Load Rating 2</t>
  </si>
  <si>
    <t>Bridge Load Ratings 2</t>
  </si>
  <si>
    <t>KNO-CR 7-0.01</t>
  </si>
  <si>
    <t>RIC-CR 320-1.32 TO</t>
  </si>
  <si>
    <t>Transfer to Tuscarawas County in exchange for TRC  12/14/10</t>
  </si>
  <si>
    <t>Transfer from Richland County in exchange for TRC</t>
  </si>
  <si>
    <t>TUS-TR 62-3.05</t>
  </si>
  <si>
    <t>Transfer to Brown County in Exchange for TRC  12/14/10</t>
  </si>
  <si>
    <t>Transfer from Belmont County in exchange for TRC</t>
  </si>
  <si>
    <t>Transfer from HAN Cnty to AUG Cnty on 7/1/09 to Repay Loan</t>
  </si>
  <si>
    <t>FAI-CR 57-0.25</t>
  </si>
  <si>
    <t>FAI-TR 235-1.163</t>
  </si>
  <si>
    <t>FAI-CR 24-5.22</t>
  </si>
  <si>
    <t>FAI-CR 78-2.46</t>
  </si>
  <si>
    <t>FAI-TR 160-1.61</t>
  </si>
  <si>
    <t>MIA-CR 86-2.36</t>
  </si>
  <si>
    <t>HAN-CR 501M-0.00</t>
  </si>
  <si>
    <t>TRU-Burnett St TO</t>
  </si>
  <si>
    <t>Transfer to Allen County 1/27/11</t>
  </si>
  <si>
    <t>Transfer from Fulton County 1/27/11</t>
  </si>
  <si>
    <t>KNO-TR 382-0.76</t>
  </si>
  <si>
    <t>Lorain County</t>
  </si>
  <si>
    <t>LOR-CR 30-8.20</t>
  </si>
  <si>
    <t>LOR-TR 66-1.03</t>
  </si>
  <si>
    <t>LOR-TR 49-2.10</t>
  </si>
  <si>
    <t>Load Rating #3</t>
  </si>
  <si>
    <t>LOR-TR 5-10.16</t>
  </si>
  <si>
    <t>Bridge Load Rating #3</t>
  </si>
  <si>
    <t>Bridge Load Ratings #3</t>
  </si>
  <si>
    <t>E070(063)</t>
  </si>
  <si>
    <t>E070256</t>
  </si>
  <si>
    <t>E070446</t>
  </si>
  <si>
    <t>E091283</t>
  </si>
  <si>
    <t>E080413</t>
  </si>
  <si>
    <t>TRU-Newton Falls-Bailey</t>
  </si>
  <si>
    <t>E100153</t>
  </si>
  <si>
    <t>OTT-CR 23 (Benton-Carroll Rd)</t>
  </si>
  <si>
    <t>E080137</t>
  </si>
  <si>
    <t>E080441</t>
  </si>
  <si>
    <t>E060682</t>
  </si>
  <si>
    <t>E080181</t>
  </si>
  <si>
    <t>E081014</t>
  </si>
  <si>
    <t>KNO-CR 31-4</t>
  </si>
  <si>
    <t>KNO-CR 27-110</t>
  </si>
  <si>
    <t>E071134</t>
  </si>
  <si>
    <t>E080546</t>
  </si>
  <si>
    <t>CRA-CR 330-1.44</t>
  </si>
  <si>
    <t>PRE-CR 24-1.93</t>
  </si>
  <si>
    <t>LUC-CR 1-20.44</t>
  </si>
  <si>
    <t>KNO-TR 169-82</t>
  </si>
  <si>
    <t>HAN-CR 86-4.45</t>
  </si>
  <si>
    <t>SEN-TR 17-1.82</t>
  </si>
  <si>
    <t>SEN-CR 38-9.32 TO</t>
  </si>
  <si>
    <t>PRE-Seven Mile Rd</t>
  </si>
  <si>
    <t>Loan to Pike County</t>
  </si>
  <si>
    <t>Loan from Scioto County (To Be Repaid)</t>
  </si>
  <si>
    <t>Transfer to Brown County in exchange for TRC</t>
  </si>
  <si>
    <t>Transfer to Columbiana County in exchange for TRC</t>
  </si>
  <si>
    <t>Transfer from Pike County in exchange for TRC</t>
  </si>
  <si>
    <t>Columbiana County</t>
  </si>
  <si>
    <t>COL-CR 428-6.65</t>
  </si>
  <si>
    <t>MAR-TR 68M-12.37</t>
  </si>
  <si>
    <t>Transfer to Crawford County - Half the Credit from SFN 5131502 (Br. Is on County Line)</t>
  </si>
  <si>
    <t>Transfer from Marion County - Half the Credit from SFN 5131502 (Br. Is on County Line)</t>
  </si>
  <si>
    <t>Transfer from Shelby County  "Pool" to Cover R/W Task Order on PID 79574</t>
  </si>
  <si>
    <t>Transfer to Mercer County to cover PID 79574 TO</t>
  </si>
  <si>
    <t>E070(277)</t>
  </si>
  <si>
    <t>HUR-TR 67-2.76</t>
  </si>
  <si>
    <t>PRE-CR 18/TR 150</t>
  </si>
  <si>
    <t>Transfer from Shelby County  "Pool" to Cover R/W Task Order on PID 83315</t>
  </si>
  <si>
    <t>Transfer to Mercer County to cover PID 83315 TO</t>
  </si>
  <si>
    <t>Transfer Shelby County's Balance to Pike County 1/3/12</t>
  </si>
  <si>
    <t>Transfer from Shelby County 1/3/12</t>
  </si>
  <si>
    <t>MER-TR 100B-0.94 R/W TO</t>
  </si>
  <si>
    <t>Transfer Remaining CBP from PAU-TR 8 Back to Defiance County</t>
  </si>
  <si>
    <t>Transfer leftover Credit from PAU-TR 8 Back to DEF Co.</t>
  </si>
  <si>
    <t>Transfer to Pike County 1/12/12</t>
  </si>
  <si>
    <t>Transfer from Fulton County 1/12/12</t>
  </si>
  <si>
    <t>0931284</t>
  </si>
  <si>
    <t>0936839</t>
  </si>
  <si>
    <t>BUT-TR 134-7.36</t>
  </si>
  <si>
    <t>City of London</t>
  </si>
  <si>
    <t>City of Athens</t>
  </si>
  <si>
    <t>0560308</t>
  </si>
  <si>
    <t>Transfer from Marion County 2/2/12</t>
  </si>
  <si>
    <t>RIC-CR 58-0.15</t>
  </si>
  <si>
    <t>RIC-CR 285-2.56</t>
  </si>
  <si>
    <t>RIC-TR 316-0.43</t>
  </si>
  <si>
    <t>BUT-CR 113-5.713</t>
  </si>
  <si>
    <t>Transfer to Richland County 2/2/12</t>
  </si>
  <si>
    <t>Transfer to Allen County 2/13/12</t>
  </si>
  <si>
    <t>Transfer from Fulton County 2/13/12</t>
  </si>
  <si>
    <t>RIC-TR 130-3.29</t>
  </si>
  <si>
    <t>RIC-TR 430-1.29</t>
  </si>
  <si>
    <t>MUS-CR 48-4.10</t>
  </si>
  <si>
    <t>MUS-CR 696-0.12</t>
  </si>
  <si>
    <t>MIA-CR 33-3.51</t>
  </si>
  <si>
    <t>Bridge Load Rating #4</t>
  </si>
  <si>
    <t>Bridge Load Ratings #4</t>
  </si>
  <si>
    <t>Holmes County</t>
  </si>
  <si>
    <t>HOL-CR 22-8.61</t>
  </si>
  <si>
    <t>LOR-TR 73-3.54</t>
  </si>
  <si>
    <t>E050651</t>
  </si>
  <si>
    <t>E080062</t>
  </si>
  <si>
    <t>WAY-CR 34-1.13 + TO</t>
  </si>
  <si>
    <t>STA-Greenbower</t>
  </si>
  <si>
    <t>GEA-CR 38-3.08</t>
  </si>
  <si>
    <t>LIC-TR 315-135</t>
  </si>
  <si>
    <t>SCI-TR 99-4.81</t>
  </si>
  <si>
    <t xml:space="preserve">FAY-TR 143-0.03 </t>
  </si>
  <si>
    <t>Lawrence County</t>
  </si>
  <si>
    <t>Loan from Scioto County - To Be Repaid</t>
  </si>
  <si>
    <t>LAW-CR 22-0.18</t>
  </si>
  <si>
    <t>Loan to Lawrence County</t>
  </si>
  <si>
    <t>E081(046)</t>
  </si>
  <si>
    <t>PIK-CR 47-0.48 TO</t>
  </si>
  <si>
    <t>Bridge Load Ratings #5</t>
  </si>
  <si>
    <t>Loan from Scioto County (To Be Repaid)  11/1/12</t>
  </si>
  <si>
    <t>Loan to Pike County 11/1/12</t>
  </si>
  <si>
    <t>PIC-CR 22-6.95</t>
  </si>
  <si>
    <t>MER-CR 250-3.93</t>
  </si>
  <si>
    <t>WAY-CR 416-3.20 + TOs</t>
  </si>
  <si>
    <t>WAY-TR 402-0.41 + TOs</t>
  </si>
  <si>
    <t>MER-CR 226-4.55</t>
  </si>
  <si>
    <t>LOR-CR 34-0.87</t>
  </si>
  <si>
    <t>POR-Rock Spring</t>
  </si>
  <si>
    <t>POR-West Main St</t>
  </si>
  <si>
    <t>POR-Parkman Rd</t>
  </si>
  <si>
    <t>POR-CR 135B</t>
  </si>
  <si>
    <t>E080644</t>
  </si>
  <si>
    <t>PIK-CR 47-3.04 TO</t>
  </si>
  <si>
    <t>LIC-CR 134 (Thornwood)</t>
  </si>
  <si>
    <t>Logan County</t>
  </si>
  <si>
    <t>Transfer from Shelby County "Reserve Pool" for LOG-CR 63-1.63 CSX Claim  12/12/12</t>
  </si>
  <si>
    <t>Transfer to Logan County to cover PID 79659 CSX Claim 12/12/12</t>
  </si>
  <si>
    <t>SCI-TR 573 Otway Covered Br</t>
  </si>
  <si>
    <t>Loan to Preble County</t>
  </si>
  <si>
    <t>Loan from Scioto County 2/7/13 - To Be Repaid</t>
  </si>
  <si>
    <t>PRE-CR 80-0.12</t>
  </si>
  <si>
    <t>PRE-TR 218-0.20</t>
  </si>
  <si>
    <t>Jackson County</t>
  </si>
  <si>
    <t>JAC-CR 13-1.47</t>
  </si>
  <si>
    <t>JAC-TR 505-00.41</t>
  </si>
  <si>
    <t>Load Rating #4</t>
  </si>
  <si>
    <t>KNO-TR 324-11</t>
  </si>
  <si>
    <t>KNO-TR 365-21</t>
  </si>
  <si>
    <t>RIC-CR 96-0.12</t>
  </si>
  <si>
    <t>Transfer to Richland County 4/3/13</t>
  </si>
  <si>
    <t>Transfer from Marion County 4/1/13</t>
  </si>
  <si>
    <t>PIK-CR 85-00.91</t>
  </si>
  <si>
    <t>LOR-CR 42-4.12</t>
  </si>
  <si>
    <t>Non-Federal Bridge</t>
  </si>
  <si>
    <t>MER-TR 190-1.99</t>
  </si>
  <si>
    <t>PIK-CR 37-3.04</t>
  </si>
  <si>
    <t>Transfer from Marion County 4/25/13</t>
  </si>
  <si>
    <t>Transfer to Allen County 4/25/13</t>
  </si>
  <si>
    <t>ALL-SHAWNEE</t>
  </si>
  <si>
    <t>RIC-TR 403-2.87</t>
  </si>
  <si>
    <t>RIC-TR 426-0.26</t>
  </si>
  <si>
    <t>Mussel Survival Survey</t>
  </si>
  <si>
    <t>Task Order Mod</t>
  </si>
  <si>
    <t>HEN-17C-00.10</t>
  </si>
  <si>
    <t>WAY-CR 59-0.21</t>
  </si>
  <si>
    <t>WIL-CR 202-0.09</t>
  </si>
  <si>
    <t>MOT-RIDGE-18</t>
  </si>
  <si>
    <t>MOT-HARSHMAN</t>
  </si>
  <si>
    <t>MIA-CR 33-3.51 TO</t>
  </si>
  <si>
    <t>POR-High St</t>
  </si>
  <si>
    <t>Loan from Delaware County 9/20/13 (to be repaid)</t>
  </si>
  <si>
    <t>Loan to Athens County 9/20/13 (to be repaid)</t>
  </si>
  <si>
    <t>CRA-TR 13-7.94 PE</t>
  </si>
  <si>
    <t>FRA-CR 18-5.93</t>
  </si>
  <si>
    <t>PIK-CR 47-2.31</t>
  </si>
  <si>
    <t>PIK-CR 1-10.90</t>
  </si>
  <si>
    <t>PIK-CR 25-1.61</t>
  </si>
  <si>
    <t>PIK-CR 27-5.48</t>
  </si>
  <si>
    <t>PIK-CR 28-4.77</t>
  </si>
  <si>
    <t>PIK-CR 64-2.97</t>
  </si>
  <si>
    <t>PIK-CR 56-4.63</t>
  </si>
  <si>
    <t>PIK-CR 64-4.09</t>
  </si>
  <si>
    <t>Bridge Load Rating 1</t>
  </si>
  <si>
    <t>Transfer to Pike County 11/5/13</t>
  </si>
  <si>
    <t>Transfer from Fulton County 11/5/13</t>
  </si>
  <si>
    <t>Transfer to Pike County 3/1/14</t>
  </si>
  <si>
    <t>Transfer from Fulton County 3/1/14</t>
  </si>
  <si>
    <t>HUR-TR 145-0.38</t>
  </si>
  <si>
    <t>Union County</t>
  </si>
  <si>
    <t>UNI-CR 84-0.261</t>
  </si>
  <si>
    <t>Transfer to Gallia County 3/5/14 (Loan to be Repaid)</t>
  </si>
  <si>
    <t>Wood County</t>
  </si>
  <si>
    <t>WOO-Glenwood Dr</t>
  </si>
  <si>
    <t>WOO-TR 23A-4</t>
  </si>
  <si>
    <t>UNI-CR 62B-1.12</t>
  </si>
  <si>
    <t>UNI-TR 308A-0.572</t>
  </si>
  <si>
    <t>MPO Funded Proj</t>
  </si>
  <si>
    <t>CLA-Spangler Rd Bridge</t>
  </si>
  <si>
    <t>JEF-CR 1-5.58 TO</t>
  </si>
  <si>
    <t>E120110</t>
  </si>
  <si>
    <t>TRU-Chestnut Ridge TO</t>
  </si>
  <si>
    <t>TRU-Newton Falls Bailey TO</t>
  </si>
  <si>
    <t>TRU-Messick South TO</t>
  </si>
  <si>
    <t>JAC-TR 291 Covered Bridge</t>
  </si>
  <si>
    <t>No SFN Assigned</t>
  </si>
  <si>
    <t>WOO-TR 55C-4</t>
  </si>
  <si>
    <t>PER-TR 131-1.30</t>
  </si>
  <si>
    <t>PER-TR 79-0.02</t>
  </si>
  <si>
    <t>PER-CR 98</t>
  </si>
  <si>
    <t>PER-CR 18-0.90</t>
  </si>
  <si>
    <t>Transfer from Preble County to repay loan</t>
  </si>
  <si>
    <t>Transfer to Scioto County 2/7/13 to Repay Loan 7/7/14</t>
  </si>
  <si>
    <t>RIC-TR 230-1.42</t>
  </si>
  <si>
    <t>FAI-CR 33A-0.43</t>
  </si>
  <si>
    <t>POR-Liberty Rd</t>
  </si>
  <si>
    <t>Transfer to Tuscarawas County 7/22/14</t>
  </si>
  <si>
    <t>Transfer from Fulton County 7/22/14</t>
  </si>
  <si>
    <t>Loan to Tuscarawas County 8/4/14</t>
  </si>
  <si>
    <t>TUS-CR 37-60</t>
  </si>
  <si>
    <t>0931896</t>
  </si>
  <si>
    <t>0937231</t>
  </si>
  <si>
    <t xml:space="preserve">BUT-TR 190-1.05  </t>
  </si>
  <si>
    <t>CLI-CR 2-0.25</t>
  </si>
  <si>
    <t>KNO-CR 27-14.36</t>
  </si>
  <si>
    <t>KNO-TR 135-1.50</t>
  </si>
  <si>
    <t>Transfer for LIC-CR 39-0.20, PID 97576</t>
  </si>
  <si>
    <t>Transfer from LIC-CR 39-0.20, PID 97576 Fed/State Exchange Project</t>
  </si>
  <si>
    <t>Transfer from SHE Co. Pool to Cover PE on KNO-TR 135-1.50</t>
  </si>
  <si>
    <t>Transfer to Knox County to cover PE on KNO-TR 135-1.50</t>
  </si>
  <si>
    <t>PIK-CR 47-3.77</t>
  </si>
  <si>
    <t>Loan from Scioto County 8/4/14</t>
  </si>
  <si>
    <t>Transfer to Shelby County for TUS-CR 62-0.79, PID 97365 Fed/State Exchange</t>
  </si>
  <si>
    <t>Transfer to Scioto County to Repay Loan</t>
  </si>
  <si>
    <t>Transfer from Tuscarawas County to Repay Loan</t>
  </si>
  <si>
    <t>Transfer from TUS-CR 62-0.79, PID 97365 Fed/State Exchange Project</t>
  </si>
  <si>
    <t>PRE-TR 453-1.952</t>
  </si>
  <si>
    <t>Transfer to Belmont &amp; Marion on 2/11/09</t>
  </si>
  <si>
    <t>TRU-Palmyra Rd</t>
  </si>
  <si>
    <t>Load Rating #1</t>
  </si>
  <si>
    <t>MAD-TR 24-2.75 R/W TO</t>
  </si>
  <si>
    <t>PIK-TR 224-0.18</t>
  </si>
  <si>
    <t>PIK-TR 403-0.68</t>
  </si>
  <si>
    <t>N/A</t>
  </si>
  <si>
    <t>ROS-CR 213-0.05</t>
  </si>
  <si>
    <t>ROS-CR 60-4.10</t>
  </si>
  <si>
    <t>Transfer from Licking County 4/20/15</t>
  </si>
  <si>
    <t>Transfer to Pike County 4/20/15</t>
  </si>
  <si>
    <t>MUS-CR 45-1.71</t>
  </si>
  <si>
    <t>Transfer from CLA-CR 314-9, PID 94039 Fed/State Exchange Project</t>
  </si>
  <si>
    <t>Transfer from Shelby County to Repay CBP owed to BUT Co.</t>
  </si>
  <si>
    <t>Transfer to Jackson County 4/24/15</t>
  </si>
  <si>
    <t>Transfer from Licking County 4/24/15</t>
  </si>
  <si>
    <t>JAC-CR 29-8.73</t>
  </si>
  <si>
    <t>AUG-CR 158A-10.85</t>
  </si>
  <si>
    <t>BUT-CR 238-2.52</t>
  </si>
  <si>
    <t>FAY-TR 121-0.15</t>
  </si>
  <si>
    <t>None</t>
  </si>
  <si>
    <t>Save to Repay HEN Co.</t>
  </si>
  <si>
    <t>HOL-CR 23-2.34 PE</t>
  </si>
  <si>
    <t xml:space="preserve">HOL-CR 23-2.34  </t>
  </si>
  <si>
    <t>Transfer from Shelby County 8/21/15 (Will be Repaid)</t>
  </si>
  <si>
    <t>Loan to Gallia County 8/21/15 (to be repaid)</t>
  </si>
  <si>
    <t>GAL-CR 114-2.05</t>
  </si>
  <si>
    <t xml:space="preserve">TRU-Nelson Moser  </t>
  </si>
  <si>
    <t>Transfer to Shelby County for PRE-CR 45-6.89, PID 90438 Federal/State Exchange</t>
  </si>
  <si>
    <t>Transfer from PRE-CR 45-6.89, PID 90438 Fed/State Exchange Project</t>
  </si>
  <si>
    <t>Transfer from Ross County for Joint Bridge 9/24/15</t>
  </si>
  <si>
    <t>Transfer to Pickaway County for Joint Bridge 9/24/15</t>
  </si>
  <si>
    <t>Transfer to Monroe County 10/1/15</t>
  </si>
  <si>
    <t>Monroe County</t>
  </si>
  <si>
    <t>MOE-CR 29-0.32</t>
  </si>
  <si>
    <t>Transfer from Fulton County 10/1/15</t>
  </si>
  <si>
    <t>Wyandot County</t>
  </si>
  <si>
    <t>Not Assigned</t>
  </si>
  <si>
    <t>PIK-CR 50-0.51 &amp; 0.62</t>
  </si>
  <si>
    <t>0543624</t>
  </si>
  <si>
    <t>0932809</t>
  </si>
  <si>
    <t>0937207</t>
  </si>
  <si>
    <t>LIC-TR 118-03.00</t>
  </si>
  <si>
    <t>PIK-CR 69-0.70</t>
  </si>
  <si>
    <t>Transfer from Athens County to Repay Loan 3/1/16</t>
  </si>
  <si>
    <t>Transfer to Scioto County to Repay Loan 3/4/16</t>
  </si>
  <si>
    <t>Transfer from Pike County to Repay Loan 3/4/16</t>
  </si>
  <si>
    <t>Transfer to Shelby County 3/28/16</t>
  </si>
  <si>
    <t>Transfer from Miami County 3/28/16</t>
  </si>
  <si>
    <t>WOO-TR 177B Kramer Rd</t>
  </si>
  <si>
    <t>Loan to Gallia County 4/11/16 (to be repaid)</t>
  </si>
  <si>
    <t>Transfer from Shelby County 4/11/16 (Will be Repaid)</t>
  </si>
  <si>
    <t>Transfer to SHE Co. for OTT-CR 19-4.70, PID 93528 Fed/State Exchange</t>
  </si>
  <si>
    <t>Transfer from OTT-CR 19-4.70, PID 93528 Fed/State Exchange Project</t>
  </si>
  <si>
    <t>PIK-CR 47-0.48 Change Order</t>
  </si>
  <si>
    <t>BUT-CR 231-00.62</t>
  </si>
  <si>
    <t>LIC-TR 180-2.50</t>
  </si>
  <si>
    <t>MAD-TR 66-2.35</t>
  </si>
  <si>
    <t>TUS-CR 99-1390</t>
  </si>
  <si>
    <t>MOT-KEOWEE</t>
  </si>
  <si>
    <t>ATB-Graham Rd</t>
  </si>
  <si>
    <t>Transfer to Muskingum County 7/11/16</t>
  </si>
  <si>
    <t>Transfer from Licking County 7/11/16</t>
  </si>
  <si>
    <t>LOR-TR 72-2.91</t>
  </si>
  <si>
    <t>ASD-CR 2575-1.70, PID 103077 Transfer to SHE Co.</t>
  </si>
  <si>
    <t>Transfer from ASD-CR 2575-1.70, PID 103077 Fed/State Exchange Project</t>
  </si>
  <si>
    <t>Transfer from Miami County 9/2/16</t>
  </si>
  <si>
    <t>Transfer to Shelby County 9/2/16</t>
  </si>
  <si>
    <t>DEF-CR 195-1.00</t>
  </si>
  <si>
    <t>MRG-CR 35-4.79</t>
  </si>
  <si>
    <t>LIC-TR 207-0.50</t>
  </si>
  <si>
    <t>MUS-CR 32-0.00 R/W</t>
  </si>
  <si>
    <t>MUS-CR 7-4.95</t>
  </si>
  <si>
    <t>Transfer from Licking County 12/20/16</t>
  </si>
  <si>
    <t>COS-CR 493-0.10</t>
  </si>
  <si>
    <t>COS-CR 12-0.20</t>
  </si>
  <si>
    <t>Transfer to Coshocton County 12/20/16</t>
  </si>
  <si>
    <t>POR-Silica Sand Rd</t>
  </si>
  <si>
    <t xml:space="preserve">Adams County                                                                                                          </t>
  </si>
  <si>
    <t>0134759</t>
  </si>
  <si>
    <t>0134010</t>
  </si>
  <si>
    <t>0133108</t>
  </si>
  <si>
    <t>0131008</t>
  </si>
  <si>
    <t>0134279</t>
  </si>
  <si>
    <t>0134011</t>
  </si>
  <si>
    <t>0249777</t>
  </si>
  <si>
    <t>0249778</t>
  </si>
  <si>
    <t>ALL-ML 504-0.30 (Central Ave), PID 97432 Transfer to SHE Co.</t>
  </si>
  <si>
    <t>Transfer from ALL-ML 504-0.30 (Central Ave), PID 97432  Fed/State Exchange Project</t>
  </si>
  <si>
    <t>Transfer to Scioto County to Repay Loan 3/16/17</t>
  </si>
  <si>
    <t>Transfer from Lawrence County to Repay Loan 3/16/17</t>
  </si>
  <si>
    <t>MUS-CR 32-0.00 Utilities</t>
  </si>
  <si>
    <t>Transfer to Shelby County for FUL-TR 25D-0.20, PID 95193</t>
  </si>
  <si>
    <t>Transfer from FUL-TR 25D-20, PID 95193 Fed/State Exchange Project</t>
  </si>
  <si>
    <t>Transfer to SHE Co. for OTT-CR 19-3.54, PID 93526 Fed/State Exchange</t>
  </si>
  <si>
    <t>Transfer from OTT-CR 19-3.54, PID 93526 Fed/State Exchange Project</t>
  </si>
  <si>
    <t>Transfer to SHE Co. for MAR-CR 101-1.15, PID 99924 Fed/State Exchange</t>
  </si>
  <si>
    <t>Transfer from MAR-CR 101-1.15, PID 99924 Fed/State Exchange Project</t>
  </si>
  <si>
    <t>Transfer from HAN-CR 502M-0.01 (Osborne Ave), PID 89145 Fed/State Exchange Project</t>
  </si>
  <si>
    <t>Transfer to SHE Co. HAN-CR 502M-0.01 (Osborne Ave), PID 89145 Fed/State Exchange  6/5/17</t>
  </si>
  <si>
    <t>Transfer to SHE Co. MED-CR 49-4.46, PID 92843 Fed/State Exchange</t>
  </si>
  <si>
    <t>Transfer from MED-CR 49-4.46, PID 92843 Fed/State Exchange Project</t>
  </si>
  <si>
    <t>Transfer to Delaware County to Repay Loan 3/1/16</t>
  </si>
  <si>
    <t>TRU-Burnett East Rd</t>
  </si>
  <si>
    <t>Transfer from WYA-CR 113-3.74, PID 94004 Fed/State Exchange Project</t>
  </si>
  <si>
    <t>Transfer to Monroe County 7/11/17</t>
  </si>
  <si>
    <t>Transfer from Fulton County 7/11/17</t>
  </si>
  <si>
    <t>CLI-CR 6-4.86</t>
  </si>
  <si>
    <t>ROS-CR 222-3.83</t>
  </si>
  <si>
    <t>WAY-CR 133-2.10</t>
  </si>
  <si>
    <t>Transfer to Shelby County for MER-CR 21B-3.50, PID 92511, Fed/State Exchange</t>
  </si>
  <si>
    <t>Transfer from MER-CR 21B-3.50, PID 92511  Fed/State Exchange Project</t>
  </si>
  <si>
    <t>KNO-CR 94-1080</t>
  </si>
  <si>
    <t>Transfer to SHE Co. for ADA-CR 02J/01B/10, PID 104292</t>
  </si>
  <si>
    <t>Transfer from ADA-CR 02J/01B/10, PID 104292</t>
  </si>
  <si>
    <t>SEN-CR 38-0.28</t>
  </si>
  <si>
    <t>LOR-CR 62-1.27</t>
  </si>
  <si>
    <t>LOR-TR 34-3.60</t>
  </si>
  <si>
    <t>PIK-TR 524-0.01 RW TO + Utilities</t>
  </si>
  <si>
    <t>Transfer to Shelby County for SCI-TR 262-0.48, PID 105949 Fed/State Exchange 11/20/17</t>
  </si>
  <si>
    <t>Transfer from SCI-TR 262-0.48, PID 105949</t>
  </si>
  <si>
    <t>COL-TR 1303/CR 400</t>
  </si>
  <si>
    <t>Erie County</t>
  </si>
  <si>
    <t>ERI-CR 120-3.23</t>
  </si>
  <si>
    <t xml:space="preserve">Transfer to SHE Co. for PIC-TR 31-0.52, PID 103361 Fed/State Exchange </t>
  </si>
  <si>
    <t>Transfer from PIC-TR 31-0.52, PID 103361</t>
  </si>
  <si>
    <t>UNI-CR 340B-2.46</t>
  </si>
  <si>
    <t>UNI-TR 294-0.29</t>
  </si>
  <si>
    <t>Transfer to SHE Co. for PIC-TR 28-8.89, PID 103363 Fed/State Exchange</t>
  </si>
  <si>
    <t>Transfer from PIC-TR 28-8.89, PID 103363</t>
  </si>
  <si>
    <t>Transfer to Lake County 3/5/18</t>
  </si>
  <si>
    <t>Lake County</t>
  </si>
  <si>
    <t>Transfer from Allen County 3/5/18</t>
  </si>
  <si>
    <t>Transfer from Shelby County 3/27/18 (Loan to be Repaid)</t>
  </si>
  <si>
    <t>Transfer to Fairfield County 3/27/18 (Loan to be Repaid)</t>
  </si>
  <si>
    <t>Transfer to Champaign County 3/29/18</t>
  </si>
  <si>
    <t>Champaign County</t>
  </si>
  <si>
    <t>Transfer from Miami County 3/29/18</t>
  </si>
  <si>
    <t>Transfer from Shelby County 3/29/18 (Loan to be Repaid)</t>
  </si>
  <si>
    <t>Transfer to Perry County 3/29/18 (Load to be Repaid)</t>
  </si>
  <si>
    <t>Harrison County</t>
  </si>
  <si>
    <t>HAS-CR 51-37</t>
  </si>
  <si>
    <t>Transfer from Licking County per Agreement 6/6/18</t>
  </si>
  <si>
    <t>Transfer to Harrison County 6/6/18</t>
  </si>
  <si>
    <t>Transfer to Shelby County for JEF-CR 17-3.88, PID 102993</t>
  </si>
  <si>
    <t>Transfer from JEF-CR 17-3.88, PID 102993</t>
  </si>
  <si>
    <t>Transfer to SHE Co. for Credit used on AUG-CR 66A-18.97, PID 94040 Fed/State Exchange</t>
  </si>
  <si>
    <t>Transfer from AUG-CR 66A-18.97, PID 94040</t>
  </si>
  <si>
    <t>Transfer to SHE Co. for ADA-CR 100-4.03, PID 96773</t>
  </si>
  <si>
    <t>Transfer from ADA-CR 100-4.03, PID 96773</t>
  </si>
  <si>
    <t>LUC-CR 180-4.75</t>
  </si>
  <si>
    <t>MAR-CR 114-0.62</t>
  </si>
  <si>
    <t>MIA-CR 16A-0.05</t>
  </si>
  <si>
    <t>OTT-CR 208-1.60</t>
  </si>
  <si>
    <t>Transfer from SHE-CR 8-6.25, PID 98990</t>
  </si>
  <si>
    <t>Transfer from LOR-TR 64-1.87, PID 96884</t>
  </si>
  <si>
    <t>Transfer to SHE Co. for LOR-TR 64-1.87, PID 96884 Fed/State Exchange</t>
  </si>
  <si>
    <t>Transfer from Shelby Co. to complete CR 213-0.05, PID 92108 project</t>
  </si>
  <si>
    <t>Transfer to ROS-CR 213-0.04, PID 92108</t>
  </si>
  <si>
    <t>0545694</t>
  </si>
  <si>
    <t>0531928</t>
  </si>
  <si>
    <t>0531929</t>
  </si>
  <si>
    <t>PER-CR 26-3.65</t>
  </si>
  <si>
    <t>Transfer to SHE Co. for PIC-CR 31/CR 500-2.93/0.37, PID 97310 Fed/State Exchange</t>
  </si>
  <si>
    <t>Transfer from PIC-CR 31/CR 500-2.93/0.37, PID 97310 Fed/State Exchange</t>
  </si>
  <si>
    <t>WAY-TR 85-0.25</t>
  </si>
  <si>
    <t>MUS-TR 209-2.74</t>
  </si>
  <si>
    <t>GAL-TR 664-0.01</t>
  </si>
  <si>
    <t>RIC-TR 152-0.20</t>
  </si>
  <si>
    <t>Transfer to Richland County 2/8/19 (Loan to be Repaid)</t>
  </si>
  <si>
    <t>Loan to Lawrence County 2/14/19</t>
  </si>
  <si>
    <t>Loan from Scioto County - To Be Repaid 2/14/19</t>
  </si>
  <si>
    <t>ALL-CR 77-5.50 (Grubb Rd), PID 104252  Transfer to SHE Co.</t>
  </si>
  <si>
    <t>Transfer from ALL-CR 77-5.50 (Grubb Rd), PID 104252 Fed/State Exchange</t>
  </si>
  <si>
    <t>Transfer to Shelby County 3/4/19 to Repay Loan</t>
  </si>
  <si>
    <t>Transfer from Fairfield County 3/4/19 to Repay Loan</t>
  </si>
  <si>
    <t>Putnam County</t>
  </si>
  <si>
    <t>TRU-Warner Rd</t>
  </si>
  <si>
    <t>Transfer to Shelby County for CLA-CR 314-0.09, PID 94039 Fed/State Exchange</t>
  </si>
  <si>
    <t>Transfer to Shelby County for CLA-TR 98-4.83, PID 98690 Fed/State Exchange</t>
  </si>
  <si>
    <t>Transfer from CLA-TR 98-4.83, PID 98690 Fed/State Exchange</t>
  </si>
  <si>
    <t>Transfer to Shelby County for DEL-CR 48-2.45, PID 99918</t>
  </si>
  <si>
    <t>Transfer from DEL-CR 48-2.45, PID 99918 Fed/State Exchange</t>
  </si>
  <si>
    <t>Transfer to Shelby County for WIL-TR 198-1.35, PID 107159 Fed/State Exchange</t>
  </si>
  <si>
    <t>Transfer from WIL-TR 198-1.35, PID 107159 Fed/State Exchange</t>
  </si>
  <si>
    <t>Transfer to Shelby County for LAW-CR 10A-0.91, PID 98669 Fed/State Exchange</t>
  </si>
  <si>
    <t>Transfer from LAW-CR 10A-0.91, PID 98669 Fed/State Exchange</t>
  </si>
  <si>
    <t>Transfer to Shelby County for CHP-CR 193-12.62, PID 98684 Fed/State Exchange</t>
  </si>
  <si>
    <t>Transfer from CHP-CR 193-12.62, PID 98684</t>
  </si>
  <si>
    <t>JAC-CR 39-3.06</t>
  </si>
  <si>
    <t>Transfer to Shelby County for MER-CR 196-1.58, PID 98682 Fed/State Exchange</t>
  </si>
  <si>
    <t>Transfer from MER-CR 196-1.58, PID 98682</t>
  </si>
  <si>
    <t>Transfer to Shelby County for LIC-TR 333-0.95, PID 101792 Fed/State Exchange</t>
  </si>
  <si>
    <t>Transfer from LIC-TR 333-0.95, PID 101792</t>
  </si>
  <si>
    <t>Transfer to Shelby Co. for LUC-Prov Neapolis, PID 107169 Fed/State Exchange</t>
  </si>
  <si>
    <t>Transfer from LUC-Prov Neapolis, PID 107169</t>
  </si>
  <si>
    <t>JAC-TR 973-0.08</t>
  </si>
  <si>
    <t>MOE-CR 28-0.56</t>
  </si>
  <si>
    <t>BUT-CR 77-5.00</t>
  </si>
  <si>
    <t>CLA-CR 325-1.30</t>
  </si>
  <si>
    <t>CLI-TR 256-0.01</t>
  </si>
  <si>
    <t>CRA-CR 1-15.43</t>
  </si>
  <si>
    <t>FAY-CR 23-1.45</t>
  </si>
  <si>
    <t>FUL-CR J-0.20</t>
  </si>
  <si>
    <t>MER-CR 125B-2.47</t>
  </si>
  <si>
    <t>POR-CR 82F-61</t>
  </si>
  <si>
    <t>Transfer to SHE Co. for MAD-CR 131-0.30, PID 106640 Fed/State Exchange</t>
  </si>
  <si>
    <t>Transfer from MAD-CR 131-0.30, PID 106640 Fed/State Exchange</t>
  </si>
  <si>
    <t>Transfer from Shelby County 8/16/19</t>
  </si>
  <si>
    <t>Transfer to COS-CR 12-0.10, PID 101724 for shortage</t>
  </si>
  <si>
    <t>HIG-TR 239-0.88</t>
  </si>
  <si>
    <t>PIK-CR 84-04.60</t>
  </si>
  <si>
    <t>PIK-CR 57-03.47</t>
  </si>
  <si>
    <t>Summit County</t>
  </si>
  <si>
    <t>SUM-CR 206-1.45 Wright Rd</t>
  </si>
  <si>
    <t>HOL-TR 123-2.21</t>
  </si>
  <si>
    <t>0336089</t>
  </si>
  <si>
    <t>0336085</t>
  </si>
  <si>
    <t>Transfer to SHE Co. for ADA-CR 6B/9B-15.72/30.40, PID 103779</t>
  </si>
  <si>
    <t>Transfer from ADA-CR 6B/9B-15.72/30.40, PID 103779 Fed/State Exchange</t>
  </si>
  <si>
    <t>Transfer to SHE Co. for MAD-CR 11-3.50, PID 103812 Fed/State Exchange</t>
  </si>
  <si>
    <t>Transfer from Shelby County to Balance 12/30/19</t>
  </si>
  <si>
    <t>Transfer to Morrow County to Balance Program 12/30/19</t>
  </si>
  <si>
    <t>LOR-TR 45-7.83</t>
  </si>
  <si>
    <t>MRW-CR 11-2.86</t>
  </si>
  <si>
    <t>Warren County</t>
  </si>
  <si>
    <t>WAR-TR 52-4.02</t>
  </si>
  <si>
    <t>Transfer to SHE Co. for LAK-Waite Hill Bridge, PID 101587 Fed/State Exchange</t>
  </si>
  <si>
    <t>Transfer from LAK-Waite Hill Bridge, PID 101587 Fed/State Exchange</t>
  </si>
  <si>
    <t>0548340</t>
  </si>
  <si>
    <t>0532509</t>
  </si>
  <si>
    <t>0532510</t>
  </si>
  <si>
    <t>Transfer from PIC-CR 125-2.04/TR 205-0.82, PID 110987 Fed/State Exchange</t>
  </si>
  <si>
    <t>PIC-TR 127-2.39</t>
  </si>
  <si>
    <t>Transfer to SHE Co. for PIC-CR 125-2.04/TR 205-0.82, PID 110987 Fed/State Exchange</t>
  </si>
  <si>
    <t>TRU-Pritchard Ohltown Rd</t>
  </si>
  <si>
    <t>Transfer to Washington County 2/13/20</t>
  </si>
  <si>
    <t>Transfer from Columbiana County</t>
  </si>
  <si>
    <t>WAS-TR 29-00.98</t>
  </si>
  <si>
    <t>WAS-CR 20-6.58</t>
  </si>
  <si>
    <t>WAS-TR 39-2.52</t>
  </si>
  <si>
    <t>Transfer to Shelby County for FRA-CR 27-7.85, PID 101543 Fed/State Exchange</t>
  </si>
  <si>
    <t>Transfer from FRA-CR 27-7.85, PID 101543 Fed/State Exchange</t>
  </si>
  <si>
    <t>WOO-TR 79A-6 (Long Judson)</t>
  </si>
  <si>
    <t>Transfer from Shelby Co. on 3/5/20</t>
  </si>
  <si>
    <t>Transfer to WOO-Long Judson, PID 98749 to cover shortfall 3/5/20</t>
  </si>
  <si>
    <t>HUR-CR 30-3.30</t>
  </si>
  <si>
    <t>HUR-TR 183-7.80</t>
  </si>
  <si>
    <t>HUR-TR 114-6.43</t>
  </si>
  <si>
    <t>Transfer to SHE Co. MED-CR 99-0.80, PID 98717 Fed/State Exchange</t>
  </si>
  <si>
    <t>Transfer from MED-CR 99-0.80, PID 98717</t>
  </si>
  <si>
    <t xml:space="preserve">Bridge Load Ratings  </t>
  </si>
  <si>
    <t>Transfer to SHE Co. for MRW-CR 40-1.58, PID 111025 Fed/State Exchange</t>
  </si>
  <si>
    <t>Transfer from MRW-CR 40-1.58, PID 111025 Fed/State Exchange</t>
  </si>
  <si>
    <t>Transfer to Shelby County for LIC-TR 121-1.44, PID 106593 Fed/State Exchange</t>
  </si>
  <si>
    <t>Transfer from LIC-TR 121-1.44, PID 106593 Fed/State Exchange</t>
  </si>
  <si>
    <t>Transfer to Shelby County for JEF-CR 53-1.46, PID 102985 Fed/State Exch</t>
  </si>
  <si>
    <t>Transfer from JEF-CR 53-1.46, PID 102985 Fed/State Exchange</t>
  </si>
  <si>
    <t>0535281</t>
  </si>
  <si>
    <t>Transfer to SHE Co. for MRW-CR 23-6.71, PID 111024 Fed/State Exchange</t>
  </si>
  <si>
    <t>Transfer from MRW-CR 23-6.71, PID 111024 Fed/State Exchange</t>
  </si>
  <si>
    <t>Transfer to Shelby County for FAY-CR 30-3.20, PID 101107 Fed/State Exchange</t>
  </si>
  <si>
    <t>Transfer from FAY-CR 30-3.20, PID 101107 Fed/State Exchange</t>
  </si>
  <si>
    <t>Transfer to Shelby County for FUL-CR 20-12.5, PID 103410</t>
  </si>
  <si>
    <t>Transfer from FUL-CR 20-12.5, PID 103410 Fed/State Exchange</t>
  </si>
  <si>
    <t>DEL-CR 163-4.31</t>
  </si>
  <si>
    <t>ATH-CR 46C-0.96</t>
  </si>
  <si>
    <t>CHP-CR 193-10.64</t>
  </si>
  <si>
    <t>FAI-CR 55-3.319</t>
  </si>
  <si>
    <t>HAN-M0520-0.00</t>
  </si>
  <si>
    <t>HAS-CR 5-6.14</t>
  </si>
  <si>
    <t>POR-CR 177H-10.092</t>
  </si>
  <si>
    <t>PRE-TR 216-0.65</t>
  </si>
  <si>
    <t>SHE-TR 49-3.59</t>
  </si>
  <si>
    <t>UNI-CR 67-3.408</t>
  </si>
  <si>
    <t>WIL-CR 16-0.12</t>
  </si>
  <si>
    <t>MEG-CR 27-3.969</t>
  </si>
  <si>
    <t>JAC-TR 217-0.05</t>
  </si>
  <si>
    <t>JAC-TR 297-2.68</t>
  </si>
  <si>
    <t>Repayment of Loan from Shelby County 10/13/20</t>
  </si>
  <si>
    <t>Loan from Shelby County 2/8/19</t>
  </si>
  <si>
    <t>Transfer from Richland County 10/13/20 to Repay Loan</t>
  </si>
  <si>
    <t>Transfer to Shelby County 11/12/20 for FAI-TR 251-00.20, PID 101562 F/S Exchange</t>
  </si>
  <si>
    <t>Transfer from FAI-TR 251-0.20, PID 101562 Fed/State Exchange</t>
  </si>
  <si>
    <t>LAK-SANCTUARY DR</t>
  </si>
  <si>
    <t>Transfer to SHE Co. for LAK-Markell Rd Bridge, PID 102069 Fed/State Exchange</t>
  </si>
  <si>
    <t>Transfer from LAK-Markell Rd Bridge, PID 102069 Fed/State Exchange</t>
  </si>
  <si>
    <t>Transfer to PIK-CR 57-3.47, PID 110130  12/23/20</t>
  </si>
  <si>
    <t>Transfer from Shelby County for PIK-CR 57-3.47  12/23/20</t>
  </si>
  <si>
    <t>CLA CR 313 3.27</t>
  </si>
  <si>
    <t>KNO CR 83 14.40</t>
  </si>
  <si>
    <t>KNO-TR 401-1.35</t>
  </si>
  <si>
    <t>MER CR 131 4.64</t>
  </si>
  <si>
    <t>MIA CR 244 0.17</t>
  </si>
  <si>
    <t>MOT TR 2160 0.86</t>
  </si>
  <si>
    <t>MOT CR 140 1.10</t>
  </si>
  <si>
    <t>LIC CR 284 0035</t>
  </si>
  <si>
    <t>Transfer from RIC-CR 32-3.65, PID 104083 Fed/State Exchange</t>
  </si>
  <si>
    <t>Transfer to Shelby County 1/26/21 for RIC-CR 32-3.65, PID 104083 Fed/State Exchange</t>
  </si>
  <si>
    <t>Transfer from Licking County 2/9/21</t>
  </si>
  <si>
    <t>COS-CR 365-1</t>
  </si>
  <si>
    <t>Transfer to Coshocton County 2/9/21</t>
  </si>
  <si>
    <t>Transfer to SHE Co. for MAR-TR 68-2.76, PID 101101 Fed/State Exchange</t>
  </si>
  <si>
    <t>Transfer from MAR-TR 68-2.76, PID 101101 Fed/State Exchange</t>
  </si>
  <si>
    <t>MIA CR 45 2.10</t>
  </si>
  <si>
    <t>0130591</t>
  </si>
  <si>
    <t>0130592</t>
  </si>
  <si>
    <t>0130567</t>
  </si>
  <si>
    <t>0130568</t>
  </si>
  <si>
    <t>ADA-CR 13B-3.56</t>
  </si>
  <si>
    <t>MIA CR 193 4.71</t>
  </si>
  <si>
    <t>CRA TR 67 1.56</t>
  </si>
  <si>
    <t>Clermont County</t>
  </si>
  <si>
    <t>MIA TR 101 0.90</t>
  </si>
  <si>
    <t>ASD-CR 175-8.68, PID 101899 Transfer to SHE Co.</t>
  </si>
  <si>
    <t>Transfer from ASD-CR 175-8.68, PID 101899</t>
  </si>
  <si>
    <t>Transfer to Shelby County 5/6/21</t>
  </si>
  <si>
    <t>Transfer to Champaign County 5/14/21</t>
  </si>
  <si>
    <t>Transfer from Miami County 5/14/21</t>
  </si>
  <si>
    <t>Shelby County 2</t>
  </si>
  <si>
    <t>Transfer from Miami County 5/6/21</t>
  </si>
  <si>
    <t>Transfer to Butler County to repay borrowed CBP for Shelby County</t>
  </si>
  <si>
    <t>Transfer from Shelby 2 for PID 113819</t>
  </si>
  <si>
    <t>Transfer to Shelby for use on SHE-TR 49-3.59, PID 113819</t>
  </si>
  <si>
    <t>LOR-TR 44-8.23</t>
  </si>
  <si>
    <t>Transfer to SHE Co. for KNO-CR 53-2.66, PID 106600 Fed/State Exchange</t>
  </si>
  <si>
    <t>Transfer from KNO-CR 53-2.66, PID 106600 Fed/State Exchange</t>
  </si>
  <si>
    <t>Transfer to Clermont County 6/14/21 (Loan to be Repaid)</t>
  </si>
  <si>
    <t>Loan from Shelby2 6/14/21 (To be Repaid)</t>
  </si>
  <si>
    <t>CLE-CR 106-4.18</t>
  </si>
  <si>
    <t>KNO-TR 369-0.67</t>
  </si>
  <si>
    <t>WAY-TR 101-1.94</t>
  </si>
  <si>
    <t>WAR-TR 71-0.39</t>
  </si>
  <si>
    <t>POR-TR 123B-0.44</t>
  </si>
  <si>
    <t>MUS-TR 492-0.73</t>
  </si>
  <si>
    <t>PIK-CR 44-0.16</t>
  </si>
  <si>
    <t>COL-CR 443-3.51</t>
  </si>
  <si>
    <t>ERI-CR 13-13.43</t>
  </si>
  <si>
    <t>Transfer to Richland County 8/23/21 (Loan to be Repaid)</t>
  </si>
  <si>
    <t>Loan from Shelby County 8/23/21 (To Be Repaid)</t>
  </si>
  <si>
    <t>Transfer from Mercer County 11/1/21</t>
  </si>
  <si>
    <t>Transfer to Allen County 11/1/21 (Credit Sold)</t>
  </si>
  <si>
    <t>Transfer from Mercer County 11/4/21</t>
  </si>
  <si>
    <t>Transfer to Defiance County 11/4/21 (Credit Sold)</t>
  </si>
  <si>
    <t>MIA 161 0018</t>
  </si>
  <si>
    <t>0638463</t>
  </si>
  <si>
    <t>0637041</t>
  </si>
  <si>
    <t>AUG TR 101 13.47</t>
  </si>
  <si>
    <t>Transfer to Shelby County 12/27/21 for RIC-TR 130-2.89, PID 104086 Fed/State Exchange</t>
  </si>
  <si>
    <t>Transfer from RIC-TR 130-2.89, PID 104086 Fed/State Exchange</t>
  </si>
  <si>
    <t>PIK-CR 8-5.75</t>
  </si>
  <si>
    <t>Transfer to Shelby County for DEF-CR 502 Hopkins, PID 106670</t>
  </si>
  <si>
    <t>Transfer from DEF-CR 502 Hopkins St, PID 106670</t>
  </si>
  <si>
    <t>WAS-CR 111-4.65</t>
  </si>
  <si>
    <t>HUR TR 27 0.89</t>
  </si>
  <si>
    <t>HUR-CR 40-0.15</t>
  </si>
  <si>
    <t>0241172</t>
  </si>
  <si>
    <t>0241173</t>
  </si>
  <si>
    <t>ALL CR 46 0.79</t>
  </si>
  <si>
    <t>ALL-CR 270-6.41</t>
  </si>
  <si>
    <t>RIC-TR 224-0.60</t>
  </si>
  <si>
    <t>Repayment of Loan from Shelby County 2/10/22</t>
  </si>
  <si>
    <t>Transfer from Richland County 2/10/22 to Repay Loan</t>
  </si>
  <si>
    <t>Transfer to Coshocton County 2/22/22</t>
  </si>
  <si>
    <t>Transfer from Licking County 2/22/22</t>
  </si>
  <si>
    <t>Transfer to SHE Co. for KNO-TR 124-0.08, PID 113794 Fed/State Exchange</t>
  </si>
  <si>
    <t>Transfer from KNO-TR 124-0.08, PID 113794 Fed/State Exchange</t>
  </si>
  <si>
    <t>Transfer to SHE Co. for HAN-TR 204-0.53, PID 101311 Fed/State Exchange 3/2/22</t>
  </si>
  <si>
    <t>Transfer from HAN-TR 204-0.53, PID 101311 Fed/State Exchange</t>
  </si>
  <si>
    <t>Transfer from FAI-CR 63-1.02, PID 104776 Fed/State Exchange</t>
  </si>
  <si>
    <t>Transfer to Shelby County for FAI-CR 63-1.02, PID 104776 F/S Exchange 3/3/22</t>
  </si>
  <si>
    <t>Transfer to Shelby County for MER-CR 21B-4.77, PID 103996 Fed/State Exchange</t>
  </si>
  <si>
    <t>Transfer from MER-CR 21B-4.77, PID 103996 Fed/State Exchange</t>
  </si>
  <si>
    <t>ALL-CR 84-6.49 (State Rd), PID 108503, Transfer to SHE Co.</t>
  </si>
  <si>
    <t>Transfer from ALL-CR 84-6.49, PID 108503 Fed/State Exchange</t>
  </si>
  <si>
    <t>HUR CR 6 1.37</t>
  </si>
  <si>
    <t>HUR-TR 183-0.80</t>
  </si>
  <si>
    <t>Transfer to Shelby County for PRE-TR 445-0.25, PID 98102 Federal/State Exchange</t>
  </si>
  <si>
    <t>Transfer from PRE-TR 445-0.25, PID 98102 Fed/State Exchange</t>
  </si>
  <si>
    <t>Transfer for GEA-Wilson Mills Road (CR 8-0469), PID 104510 Fed/State Exchange</t>
  </si>
  <si>
    <t>Transfer from GEA-Wilson Mills Rd (CR 8-0469), PID 104510 Fed/State Exchange</t>
  </si>
  <si>
    <t>HUR TR 92 0.88</t>
  </si>
  <si>
    <t>HUR-TR 182-1.16</t>
  </si>
  <si>
    <t>OTT TR 21 04.80</t>
  </si>
  <si>
    <t>OTT TR 54 02.80</t>
  </si>
  <si>
    <t>Transfer to Shelby County for LIC-CR 668-9.02, PID 106588 Fed/State Exchange</t>
  </si>
  <si>
    <t>Transfer from LIC-CR 668-9.02, PID 106588 Fed/State Exchange</t>
  </si>
  <si>
    <t>ATH-TR 196-0.71</t>
  </si>
  <si>
    <t>0550780</t>
  </si>
  <si>
    <t>0550779</t>
  </si>
  <si>
    <t>ATH-TR 674-0.05</t>
  </si>
  <si>
    <t>HAN-M0513-1.70</t>
  </si>
  <si>
    <t>OTT TR 56 1.43</t>
  </si>
  <si>
    <t>OTT CR 42 0.75</t>
  </si>
  <si>
    <t>OTT TR 90 00.03</t>
  </si>
  <si>
    <t>OTT TR 45 01.99</t>
  </si>
  <si>
    <t>OTT CR 23 00.28</t>
  </si>
  <si>
    <t>OTT TR 56 01.79</t>
  </si>
  <si>
    <t>OTT TR 96 03.45</t>
  </si>
  <si>
    <t>Transfer to Allen County 8/8/2006</t>
  </si>
  <si>
    <t>Transfer to Marion County 5/8/07</t>
  </si>
  <si>
    <t>Transfer from WAS Co. 2/25/09</t>
  </si>
  <si>
    <t>Transfer to ASD Co. 8/8/06</t>
  </si>
  <si>
    <t xml:space="preserve">**Per Tom Lunt with CEAO, requested that the total CBP totals be increased to $49,950 to account for the CE. **Increased 77031 to $50,325 based on the PS&amp;E that Horace received from Estimating. **Per T. Lunt, added $43,767 to cost of PID 77031 to cover 95% rather than 80%. </t>
  </si>
  <si>
    <t>Load Rating #4, PID 92742 used $300,000 in credit, $151,844.40 was charged to indiv. Counties</t>
  </si>
  <si>
    <t>Load Rating #3, PID 90189 used $128,100.36 in credit, $140,181.46 was charged to indiv. Counties</t>
  </si>
  <si>
    <t>Load Rating #2, PID 88870 used $76,751.15 in credit, $80,435.03 was charged to indiv. Counties</t>
  </si>
  <si>
    <t>Load Rating #5, PID 93896 used $65300.52 in credit, $65,073.40 was charged to indiv. Counties</t>
  </si>
  <si>
    <t>Load Rating #1, PID 87270 used $586,736 in credit, $597,822.70 was charged to indiv. Counties</t>
  </si>
  <si>
    <t>KNO-TR 362-0.12</t>
  </si>
  <si>
    <t>GEA-CR 607-1.25</t>
  </si>
  <si>
    <t>RIC-CR 57-3.60</t>
  </si>
  <si>
    <t>Transfer from ASD Co. for 50% of Design Cost on PID 108890</t>
  </si>
  <si>
    <t>Transfer to RIC Co. for 50% of Design Costs on PID 108890</t>
  </si>
  <si>
    <t xml:space="preserve">**Per Michele Risko with CEAO, transferred $4,966 to Hancock County on 8/8/2006.                                                  **Per letter from Tom Lunt on 4/18/07, tranferred $74,444 from Hancock County to Marion County. ** Per letter dated 6/12/2008 from Tom Lunt transferred 34,463 to Marion County </t>
  </si>
  <si>
    <t>Transfer to Shelby County for LIC-CR 2-9.38, PID 106591 Fed/State Exchange</t>
  </si>
  <si>
    <t>Transfer from LIC-CR 2-9.38, PID 106591 Fed/State Exchange</t>
  </si>
  <si>
    <t>TUS-CR 62-0.89 PE</t>
  </si>
  <si>
    <t>LOR-CR 1-3.49</t>
  </si>
  <si>
    <t>MRW-CR 23-1.116</t>
  </si>
  <si>
    <t>FAI CR 20-1.964</t>
  </si>
  <si>
    <t>Transfer to Shelby County for ATH-CR 49-0.04, PID 115064 Fed/State Exchange</t>
  </si>
  <si>
    <t>Transfer from ATH-CR 49-0.04, PID 115064 Fed/State Exchange</t>
  </si>
  <si>
    <t>Transfer to MAR Co. for 50% share of MAR-TR 68C, PID 101101</t>
  </si>
  <si>
    <t>Transfer from WYA Co. for 50% Share of MAR-TR 68-2.76, PID 101101</t>
  </si>
  <si>
    <t>Transfer to SHE Co. for WYA-CR 16-10.99, PID 108947 Fed/State Exchange</t>
  </si>
  <si>
    <t>Transfer to SHE Co. for WYA-CR 113-3.74, PID 94004 Fed/State Exchange</t>
  </si>
  <si>
    <t>Transfer from WYA-CR 16-10.99, PID 108947 Fed/State Exchange</t>
  </si>
  <si>
    <t>Transfer from Miami County 8/8/22</t>
  </si>
  <si>
    <t>Transfer to Morgan County 8/8/22</t>
  </si>
  <si>
    <t>MRG-CR 52-3.82</t>
  </si>
  <si>
    <t>Transfer to Scioto County to Repay Loan 10/14/20</t>
  </si>
  <si>
    <t>Transfer from Lawrence County to Repay Loan 10/14/20</t>
  </si>
  <si>
    <t>KNO TR 262 0.28</t>
  </si>
  <si>
    <t>PER CR 97 0.10</t>
  </si>
  <si>
    <t>WAR CR 33 516</t>
  </si>
  <si>
    <t>Transfer to Shelby County 9/12/22 (to Repay Loan)</t>
  </si>
  <si>
    <t>Transfer from Perry County 9/12/22 to Repay Loan</t>
  </si>
  <si>
    <t>Transfer to Shelby County for JEF-CR 49-0.19, PID 112305 Fed/State Exch</t>
  </si>
  <si>
    <t>Transfer from JEF-CR 49-0.19, PID 112305 Fed/State Exchange</t>
  </si>
  <si>
    <t>FRA TR 257 0.27</t>
  </si>
  <si>
    <t>FRA-CR 3-2.83</t>
  </si>
  <si>
    <t>Bridge Load Ratings 3</t>
  </si>
  <si>
    <t>MED-CR 70-3.63</t>
  </si>
  <si>
    <t>MED-CR 78-0.92</t>
  </si>
  <si>
    <t>MED-CR 97-6.62</t>
  </si>
  <si>
    <t>MED-CR 35-1.65</t>
  </si>
  <si>
    <t>MAD CR 12 9.87</t>
  </si>
  <si>
    <t>Transfer from MAD-CR 11-3.50, PID 103812 Fed/State Exchange</t>
  </si>
  <si>
    <t xml:space="preserve">Transfer from Fulton County 1/25/22 </t>
  </si>
  <si>
    <t>Transfer to Defiance County 1/25/22</t>
  </si>
  <si>
    <t>Transfer to Shelby County for SCI-CR 18-6.46, PID 110985 Fed/State Exchange 11/4/22</t>
  </si>
  <si>
    <t>Transfer from SCI-CR 18-6.46, PID 110985 Fed/State Exchange</t>
  </si>
  <si>
    <t>ALL-CR 142-5.36</t>
  </si>
  <si>
    <t>HAN-CR 180-3.67</t>
  </si>
  <si>
    <t>MED-TR 145-0.91</t>
  </si>
  <si>
    <t>MUS-TR 420A-0.02</t>
  </si>
  <si>
    <t>WAR-CR 134-3.76</t>
  </si>
  <si>
    <t>OTT CR 213 0380</t>
  </si>
  <si>
    <t>PRE-TR 106-0.55</t>
  </si>
  <si>
    <t>switched to TRC</t>
  </si>
  <si>
    <t>LOR-TR 45-6.68</t>
  </si>
  <si>
    <t>Transfer to Shelby County for ERI-CR 5-2.92, PID 107278 Fed/State Exchange</t>
  </si>
  <si>
    <t>Transfer from ERI-CR 5-2.92, PID 107278 Fed/State Exchange</t>
  </si>
  <si>
    <t>MED-CR 97-1.50</t>
  </si>
  <si>
    <t>MUS-M0007-0.09</t>
  </si>
  <si>
    <t>Transfer to Shelby County for HUR-CR 11-3.41, PID 104081 F/S Exchange</t>
  </si>
  <si>
    <t>Transfer from HUR-CR 11-3.41, PID 104081 Fed/State Exchange</t>
  </si>
  <si>
    <t>MIA TR 92 0.51</t>
  </si>
  <si>
    <t>RIC-CR 58-3.61</t>
  </si>
  <si>
    <t>MIA CR 78 0.13</t>
  </si>
  <si>
    <t>HUR-CR 11-3.60</t>
  </si>
  <si>
    <t>Transfer from Henry County 3/5/14 (Henry Co was repaid by Shelby 2, so Gallia owes Shelby)</t>
  </si>
  <si>
    <t>Transfer from Shelby 2 to Repay Load from Gallia County 4/5/23 (Gallia now owes Shelby)</t>
  </si>
  <si>
    <t>Transfer to Henry County to repay loan by Gallia County (Gallia County now owes this account)</t>
  </si>
  <si>
    <t>Amount Putnam County needs before transferring entire $277,572.15 to Shelby 2</t>
  </si>
  <si>
    <t>Transfer from Shelby Co. on 4/7/23</t>
  </si>
  <si>
    <t>Transfer to Wood County to zero their CBP balance</t>
  </si>
  <si>
    <t>Transfer to SHE Co. for KNO-TR 402-0.06, PID 108760 Fed/State Exchange</t>
  </si>
  <si>
    <t>Once Awarded then move down to section C</t>
  </si>
  <si>
    <t>Federally funded projects will change from red to black</t>
  </si>
  <si>
    <t>Transfer from Kno TR 402 0.06 PID 108760 Fed/State Exchange</t>
  </si>
  <si>
    <t>Transfer to Shelby County for ATH-TR 231 1.62, PID 117524 Fed/State Exchange</t>
  </si>
  <si>
    <t xml:space="preserve">Transfer to Shelby Count for PUT CR 19 8.50 PID 96835 Fed/state exchange </t>
  </si>
  <si>
    <t>Transfer to Shelby County for MER-CR 125B-2.47 PID 111214 Palmer Rd. Bridge Fed/State Exchange</t>
  </si>
  <si>
    <t xml:space="preserve">Transfer to Shelby Count for MER-CR 125B-2.47 PID 111214 Fed/state exchange </t>
  </si>
  <si>
    <t>*</t>
  </si>
  <si>
    <t>SUM-C0126-01.14</t>
  </si>
  <si>
    <t>MIA-CR199-2.56</t>
  </si>
  <si>
    <t>MUS-CR44-1.69</t>
  </si>
  <si>
    <t>MUS-TR90-0.84</t>
  </si>
  <si>
    <t>MRG-CR70-1.957</t>
  </si>
  <si>
    <t>CLI-CR21-06.34</t>
  </si>
  <si>
    <t>MIA-CR17 4.51</t>
  </si>
  <si>
    <t>MUS-TR421 1.93</t>
  </si>
  <si>
    <t>MAD 135 1.60</t>
  </si>
  <si>
    <t>0333123</t>
  </si>
  <si>
    <t>ASD CR30A 4.50</t>
  </si>
  <si>
    <t>PIC CR90 1.83</t>
  </si>
  <si>
    <t>PIC TR38 7.78</t>
  </si>
  <si>
    <t>PIC TR102 1.61</t>
  </si>
  <si>
    <t>RIC CR207 2.01</t>
  </si>
  <si>
    <t>PIC TR207 1.85</t>
  </si>
  <si>
    <t>PIC CR9 9.74</t>
  </si>
  <si>
    <t>MER T21C 1.04</t>
  </si>
  <si>
    <t>MRW CR146 3.69</t>
  </si>
  <si>
    <t>MIA CR16 5.66</t>
  </si>
  <si>
    <t>WAS CR102/3.59</t>
  </si>
  <si>
    <t>MAD CR4 3.05</t>
  </si>
  <si>
    <t>RIC-TR138-1.19</t>
  </si>
  <si>
    <t>RIC-TR185-1.11</t>
  </si>
  <si>
    <t>MER-CR236-3.03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</si>
</sst>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3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color theme="3" tint="0.3999755851924192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5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90">
    <xf numFmtId="0" fontId="0" fillId="0" borderId="0" xfId="0"/>
    <xf numFmtId="0" fontId="2" fillId="0" borderId="10" xfId="0" applyFont="1" applyBorder="1"/>
    <xf numFmtId="0" fontId="2" fillId="0" borderId="11" xfId="0" applyFont="1" applyBorder="1"/>
    <xf numFmtId="14" fontId="2" fillId="0" borderId="12" xfId="0" applyNumberFormat="1" applyFont="1" applyBorder="1"/>
    <xf numFmtId="0" fontId="2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164" fontId="1" fillId="0" borderId="13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3" xfId="0" applyNumberFormat="1" applyFont="1" applyBorder="1"/>
    <xf numFmtId="0" fontId="4" fillId="24" borderId="10" xfId="0" applyFont="1" applyFill="1" applyBorder="1"/>
    <xf numFmtId="0" fontId="4" fillId="24" borderId="11" xfId="0" applyFont="1" applyFill="1" applyBorder="1"/>
    <xf numFmtId="164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164" fontId="1" fillId="0" borderId="10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16" xfId="0" applyNumberFormat="1" applyFont="1" applyBorder="1"/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0" fillId="0" borderId="0" xfId="0" applyNumberFormat="1"/>
    <xf numFmtId="0" fontId="8" fillId="0" borderId="13" xfId="0" applyFont="1" applyBorder="1"/>
    <xf numFmtId="0" fontId="8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5" fontId="1" fillId="0" borderId="13" xfId="0" applyNumberFormat="1" applyFont="1" applyBorder="1" applyAlignment="1">
      <alignment vertical="center" wrapText="1"/>
    </xf>
    <xf numFmtId="165" fontId="1" fillId="0" borderId="13" xfId="0" applyNumberFormat="1" applyFont="1" applyBorder="1"/>
    <xf numFmtId="165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165" fontId="1" fillId="0" borderId="10" xfId="0" applyNumberFormat="1" applyFont="1" applyBorder="1" applyAlignment="1">
      <alignment vertical="center" wrapText="1"/>
    </xf>
    <xf numFmtId="165" fontId="1" fillId="0" borderId="12" xfId="0" applyNumberFormat="1" applyFont="1" applyBorder="1" applyAlignment="1">
      <alignment vertical="center" wrapText="1"/>
    </xf>
    <xf numFmtId="165" fontId="1" fillId="0" borderId="14" xfId="0" applyNumberFormat="1" applyFont="1" applyBorder="1" applyAlignment="1">
      <alignment vertical="center" wrapText="1"/>
    </xf>
    <xf numFmtId="165" fontId="1" fillId="0" borderId="15" xfId="0" applyNumberFormat="1" applyFont="1" applyBorder="1" applyAlignment="1">
      <alignment vertical="center" wrapText="1"/>
    </xf>
    <xf numFmtId="165" fontId="1" fillId="0" borderId="16" xfId="0" applyNumberFormat="1" applyFont="1" applyBorder="1"/>
    <xf numFmtId="165" fontId="0" fillId="0" borderId="13" xfId="0" applyNumberFormat="1" applyBorder="1"/>
    <xf numFmtId="165" fontId="1" fillId="0" borderId="18" xfId="0" applyNumberFormat="1" applyFont="1" applyBorder="1" applyAlignment="1">
      <alignment vertical="center" wrapText="1"/>
    </xf>
    <xf numFmtId="14" fontId="0" fillId="0" borderId="13" xfId="0" applyNumberFormat="1" applyBorder="1" applyAlignment="1">
      <alignment horizontal="center"/>
    </xf>
    <xf numFmtId="4" fontId="1" fillId="0" borderId="13" xfId="0" applyNumberFormat="1" applyFont="1" applyBorder="1" applyAlignment="1">
      <alignment vertical="center" wrapText="1"/>
    </xf>
    <xf numFmtId="4" fontId="0" fillId="0" borderId="13" xfId="0" applyNumberFormat="1" applyBorder="1"/>
    <xf numFmtId="4" fontId="1" fillId="0" borderId="19" xfId="0" applyNumberFormat="1" applyFont="1" applyBorder="1"/>
    <xf numFmtId="4" fontId="1" fillId="0" borderId="0" xfId="0" applyNumberFormat="1" applyFont="1"/>
    <xf numFmtId="0" fontId="8" fillId="0" borderId="0" xfId="0" applyFont="1"/>
    <xf numFmtId="43" fontId="1" fillId="0" borderId="13" xfId="0" applyNumberFormat="1" applyFont="1" applyBorder="1" applyAlignment="1">
      <alignment vertical="center" wrapText="1"/>
    </xf>
    <xf numFmtId="43" fontId="1" fillId="0" borderId="13" xfId="0" applyNumberFormat="1" applyFont="1" applyBorder="1"/>
    <xf numFmtId="165" fontId="1" fillId="0" borderId="20" xfId="0" applyNumberFormat="1" applyFont="1" applyBorder="1" applyAlignment="1">
      <alignment vertical="center" wrapText="1"/>
    </xf>
    <xf numFmtId="165" fontId="1" fillId="0" borderId="21" xfId="0" applyNumberFormat="1" applyFont="1" applyBorder="1" applyAlignment="1">
      <alignment vertical="center" wrapText="1"/>
    </xf>
    <xf numFmtId="165" fontId="1" fillId="0" borderId="22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" fillId="0" borderId="1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30" fillId="0" borderId="13" xfId="0" applyFont="1" applyBorder="1"/>
    <xf numFmtId="0" fontId="31" fillId="0" borderId="13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vertical="center" wrapText="1"/>
    </xf>
    <xf numFmtId="0" fontId="30" fillId="0" borderId="0" xfId="0" applyFont="1"/>
    <xf numFmtId="165" fontId="1" fillId="0" borderId="1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7" fontId="1" fillId="0" borderId="0" xfId="0" applyNumberFormat="1" applyFont="1" applyAlignment="1">
      <alignment horizontal="center"/>
    </xf>
    <xf numFmtId="165" fontId="1" fillId="0" borderId="23" xfId="0" applyNumberFormat="1" applyFont="1" applyBorder="1"/>
    <xf numFmtId="165" fontId="1" fillId="0" borderId="24" xfId="0" applyNumberFormat="1" applyFont="1" applyBorder="1"/>
    <xf numFmtId="165" fontId="1" fillId="0" borderId="22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164" fontId="1" fillId="0" borderId="21" xfId="0" applyNumberFormat="1" applyFont="1" applyBorder="1" applyAlignment="1">
      <alignment vertical="center" wrapText="1"/>
    </xf>
    <xf numFmtId="164" fontId="1" fillId="0" borderId="24" xfId="0" applyNumberFormat="1" applyFont="1" applyBorder="1"/>
    <xf numFmtId="3" fontId="1" fillId="0" borderId="13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vertical="center" wrapText="1"/>
    </xf>
    <xf numFmtId="165" fontId="1" fillId="0" borderId="26" xfId="0" applyNumberFormat="1" applyFont="1" applyBorder="1" applyAlignment="1">
      <alignment vertical="center" wrapText="1"/>
    </xf>
    <xf numFmtId="165" fontId="1" fillId="0" borderId="25" xfId="0" applyNumberFormat="1" applyFont="1" applyBorder="1"/>
    <xf numFmtId="165" fontId="1" fillId="0" borderId="19" xfId="0" applyNumberFormat="1" applyFont="1" applyBorder="1"/>
    <xf numFmtId="14" fontId="1" fillId="0" borderId="10" xfId="0" applyNumberFormat="1" applyFont="1" applyBorder="1"/>
    <xf numFmtId="0" fontId="5" fillId="0" borderId="10" xfId="0" applyFont="1" applyBorder="1"/>
    <xf numFmtId="14" fontId="5" fillId="0" borderId="10" xfId="0" applyNumberFormat="1" applyFont="1" applyBorder="1"/>
    <xf numFmtId="0" fontId="32" fillId="0" borderId="10" xfId="0" applyFont="1" applyBorder="1"/>
    <xf numFmtId="0" fontId="8" fillId="0" borderId="10" xfId="0" applyFont="1" applyBorder="1"/>
    <xf numFmtId="165" fontId="1" fillId="0" borderId="13" xfId="0" applyNumberFormat="1" applyFont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165" fontId="0" fillId="0" borderId="0" xfId="0" applyNumberFormat="1"/>
    <xf numFmtId="43" fontId="0" fillId="0" borderId="0" xfId="0" applyNumberFormat="1"/>
    <xf numFmtId="4" fontId="0" fillId="0" borderId="0" xfId="0" applyNumberFormat="1"/>
    <xf numFmtId="0" fontId="30" fillId="0" borderId="10" xfId="0" applyFont="1" applyBorder="1"/>
    <xf numFmtId="164" fontId="1" fillId="0" borderId="13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8" fontId="5" fillId="0" borderId="30" xfId="0" applyNumberFormat="1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165" fontId="11" fillId="0" borderId="10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0" fontId="32" fillId="0" borderId="13" xfId="0" applyFont="1" applyBorder="1" applyAlignment="1">
      <alignment horizontal="left"/>
    </xf>
    <xf numFmtId="165" fontId="32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65" fontId="1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0" fillId="0" borderId="2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165" fontId="30" fillId="0" borderId="13" xfId="0" applyNumberFormat="1" applyFont="1" applyBorder="1" applyAlignment="1">
      <alignment horizontal="center" vertical="center" wrapText="1"/>
    </xf>
    <xf numFmtId="0" fontId="32" fillId="0" borderId="10" xfId="0" quotePrefix="1" applyFont="1" applyBorder="1" applyAlignment="1">
      <alignment horizontal="center"/>
    </xf>
    <xf numFmtId="0" fontId="32" fillId="0" borderId="12" xfId="0" quotePrefix="1" applyFont="1" applyBorder="1" applyAlignment="1">
      <alignment horizontal="center"/>
    </xf>
    <xf numFmtId="14" fontId="32" fillId="0" borderId="10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65" fontId="32" fillId="0" borderId="10" xfId="0" applyNumberFormat="1" applyFont="1" applyBorder="1" applyAlignment="1">
      <alignment horizontal="center" vertical="center" wrapText="1"/>
    </xf>
    <xf numFmtId="165" fontId="32" fillId="0" borderId="12" xfId="0" applyNumberFormat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4" fontId="3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14" fontId="5" fillId="0" borderId="13" xfId="0" quotePrefix="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165" fontId="32" fillId="0" borderId="10" xfId="0" applyNumberFormat="1" applyFont="1" applyBorder="1" applyAlignment="1">
      <alignment horizontal="center"/>
    </xf>
    <xf numFmtId="165" fontId="3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165" fontId="32" fillId="0" borderId="13" xfId="0" applyNumberFormat="1" applyFont="1" applyBorder="1" applyAlignment="1">
      <alignment horizontal="center" vertical="center" wrapText="1"/>
    </xf>
    <xf numFmtId="49" fontId="1" fillId="0" borderId="13" xfId="0" quotePrefix="1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quotePrefix="1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" fontId="0" fillId="0" borderId="17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4" fillId="24" borderId="11" xfId="0" applyNumberFormat="1" applyFont="1" applyFill="1" applyBorder="1" applyAlignment="1">
      <alignment horizontal="center"/>
    </xf>
    <xf numFmtId="4" fontId="4" fillId="24" borderId="12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2" fillId="0" borderId="17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4" fontId="32" fillId="0" borderId="13" xfId="0" applyNumberFormat="1" applyFont="1" applyBorder="1" applyAlignment="1">
      <alignment horizontal="center" vertical="center" wrapText="1"/>
    </xf>
    <xf numFmtId="49" fontId="5" fillId="0" borderId="13" xfId="0" quotePrefix="1" applyNumberFormat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left"/>
    </xf>
    <xf numFmtId="9" fontId="1" fillId="0" borderId="1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5" fontId="8" fillId="0" borderId="13" xfId="0" applyNumberFormat="1" applyFont="1" applyBorder="1" applyAlignment="1">
      <alignment horizontal="center" vertical="center" wrapText="1"/>
    </xf>
    <xf numFmtId="165" fontId="30" fillId="0" borderId="19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0" fontId="32" fillId="0" borderId="13" xfId="0" quotePrefix="1" applyFont="1" applyBorder="1" applyAlignment="1">
      <alignment horizontal="center"/>
    </xf>
    <xf numFmtId="14" fontId="32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/>
    </xf>
    <xf numFmtId="165" fontId="1" fillId="25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30" fillId="0" borderId="13" xfId="0" quotePrefix="1" applyFont="1" applyBorder="1" applyAlignment="1">
      <alignment horizontal="center"/>
    </xf>
    <xf numFmtId="14" fontId="3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quotePrefix="1" applyFont="1" applyBorder="1" applyAlignment="1">
      <alignment horizontal="center"/>
    </xf>
    <xf numFmtId="0" fontId="8" fillId="0" borderId="10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5" fontId="1" fillId="0" borderId="3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7" fontId="5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7" fontId="1" fillId="0" borderId="13" xfId="0" applyNumberFormat="1" applyFont="1" applyBorder="1" applyAlignment="1">
      <alignment horizontal="center" vertical="center" wrapText="1"/>
    </xf>
    <xf numFmtId="7" fontId="32" fillId="0" borderId="13" xfId="0" applyNumberFormat="1" applyFont="1" applyBorder="1" applyAlignment="1">
      <alignment horizontal="center" vertical="center" wrapText="1"/>
    </xf>
    <xf numFmtId="7" fontId="1" fillId="0" borderId="19" xfId="0" applyNumberFormat="1" applyFont="1" applyBorder="1" applyAlignment="1">
      <alignment horizontal="center" vertical="center" wrapText="1"/>
    </xf>
    <xf numFmtId="7" fontId="4" fillId="24" borderId="11" xfId="0" applyNumberFormat="1" applyFont="1" applyFill="1" applyBorder="1" applyAlignment="1">
      <alignment horizontal="center"/>
    </xf>
    <xf numFmtId="7" fontId="4" fillId="24" borderId="12" xfId="0" applyNumberFormat="1" applyFont="1" applyFill="1" applyBorder="1" applyAlignment="1">
      <alignment horizontal="center"/>
    </xf>
    <xf numFmtId="7" fontId="30" fillId="0" borderId="13" xfId="0" applyNumberFormat="1" applyFont="1" applyBorder="1" applyAlignment="1">
      <alignment horizontal="center" vertical="center" wrapText="1"/>
    </xf>
    <xf numFmtId="7" fontId="1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4" fontId="0" fillId="0" borderId="10" xfId="0" applyNumberFormat="1" applyBorder="1" applyAlignment="1">
      <alignment horizontal="center"/>
    </xf>
    <xf numFmtId="165" fontId="1" fillId="0" borderId="17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165" fontId="30" fillId="0" borderId="25" xfId="0" applyNumberFormat="1" applyFont="1" applyBorder="1" applyAlignment="1">
      <alignment horizontal="center" vertical="center" wrapText="1"/>
    </xf>
    <xf numFmtId="165" fontId="30" fillId="0" borderId="22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30" fillId="0" borderId="10" xfId="0" quotePrefix="1" applyFont="1" applyBorder="1" applyAlignment="1">
      <alignment horizontal="center"/>
    </xf>
    <xf numFmtId="0" fontId="30" fillId="0" borderId="12" xfId="0" quotePrefix="1" applyFont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14" fontId="30" fillId="0" borderId="12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5" fontId="8" fillId="0" borderId="29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65" fontId="30" fillId="0" borderId="21" xfId="0" applyNumberFormat="1" applyFont="1" applyBorder="1" applyAlignment="1">
      <alignment horizontal="center" vertical="center" wrapText="1"/>
    </xf>
    <xf numFmtId="165" fontId="30" fillId="0" borderId="10" xfId="0" applyNumberFormat="1" applyFont="1" applyBorder="1" applyAlignment="1">
      <alignment horizontal="center" vertical="center" wrapText="1"/>
    </xf>
    <xf numFmtId="165" fontId="30" fillId="0" borderId="12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5" fillId="0" borderId="13" xfId="0" applyNumberFormat="1" applyFont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8" fontId="1" fillId="0" borderId="13" xfId="0" applyNumberFormat="1" applyFont="1" applyBorder="1" applyAlignment="1">
      <alignment horizontal="center"/>
    </xf>
    <xf numFmtId="8" fontId="5" fillId="0" borderId="13" xfId="0" applyNumberFormat="1" applyFon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32" fillId="0" borderId="13" xfId="0" applyNumberFormat="1" applyFon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165" fontId="5" fillId="0" borderId="17" xfId="0" applyNumberFormat="1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1" fillId="25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5" fillId="0" borderId="12" xfId="0" applyFont="1" applyBorder="1"/>
    <xf numFmtId="165" fontId="5" fillId="0" borderId="29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4" fontId="1" fillId="0" borderId="13" xfId="0" quotePrefix="1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36" fillId="0" borderId="13" xfId="0" applyFont="1" applyBorder="1" applyAlignment="1">
      <alignment horizontal="left"/>
    </xf>
    <xf numFmtId="4" fontId="30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165" fontId="5" fillId="0" borderId="10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4" fontId="30" fillId="0" borderId="1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4" fontId="31" fillId="0" borderId="10" xfId="0" applyNumberFormat="1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14" fontId="31" fillId="0" borderId="13" xfId="0" applyNumberFormat="1" applyFont="1" applyBorder="1" applyAlignment="1">
      <alignment horizontal="center"/>
    </xf>
    <xf numFmtId="165" fontId="3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165" fontId="11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165" fontId="33" fillId="0" borderId="13" xfId="0" applyNumberFormat="1" applyFont="1" applyBorder="1" applyAlignment="1">
      <alignment horizontal="center"/>
    </xf>
    <xf numFmtId="165" fontId="36" fillId="0" borderId="10" xfId="0" applyNumberFormat="1" applyFont="1" applyBorder="1" applyAlignment="1">
      <alignment horizontal="center"/>
    </xf>
    <xf numFmtId="165" fontId="36" fillId="0" borderId="12" xfId="0" applyNumberFormat="1" applyFont="1" applyBorder="1" applyAlignment="1">
      <alignment horizontal="center"/>
    </xf>
    <xf numFmtId="165" fontId="36" fillId="0" borderId="13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1" fontId="1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5" fontId="10" fillId="0" borderId="13" xfId="0" applyNumberFormat="1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workbookViewId="0">
      <selection activeCell="B11" sqref="B11"/>
    </sheetView>
  </sheetViews>
  <sheetFormatPr defaultRowHeight="12.75" x14ac:dyDescent="0.2"/>
  <cols>
    <col min="2" max="2" width="13.5703125" customWidth="1"/>
    <col min="3" max="3" width="14.5703125" customWidth="1"/>
    <col min="9" max="9" width="11.7109375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170"/>
      <c r="H1" s="170"/>
      <c r="I1" s="2"/>
      <c r="J1" s="3">
        <f ca="1">TODAY()</f>
        <v>45264</v>
      </c>
    </row>
    <row r="2" spans="1:10" ht="15" x14ac:dyDescent="0.2">
      <c r="A2" s="1" t="s">
        <v>1223</v>
      </c>
      <c r="B2" s="6"/>
      <c r="C2" s="6"/>
      <c r="D2" s="6"/>
      <c r="E2" s="6"/>
      <c r="F2" s="6"/>
      <c r="G2" s="6"/>
      <c r="H2" s="6"/>
      <c r="I2" s="6"/>
      <c r="J2" s="59" t="s">
        <v>164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 t="s">
        <v>25</v>
      </c>
      <c r="E4" s="128"/>
      <c r="F4" s="171" t="s">
        <v>26</v>
      </c>
      <c r="G4" s="172"/>
      <c r="H4" s="173"/>
      <c r="I4" s="169" t="s">
        <v>27</v>
      </c>
      <c r="J4" s="177">
        <v>0.8</v>
      </c>
    </row>
    <row r="5" spans="1:10" x14ac:dyDescent="0.2">
      <c r="A5" s="169"/>
      <c r="B5" s="9" t="s">
        <v>28</v>
      </c>
      <c r="C5" s="19" t="s">
        <v>54</v>
      </c>
      <c r="D5" s="128"/>
      <c r="E5" s="128"/>
      <c r="F5" s="174"/>
      <c r="G5" s="175"/>
      <c r="H5" s="176"/>
      <c r="I5" s="169"/>
      <c r="J5" s="169"/>
    </row>
    <row r="6" spans="1:10" x14ac:dyDescent="0.2">
      <c r="A6" s="9">
        <v>1</v>
      </c>
      <c r="B6" s="86" t="s">
        <v>1224</v>
      </c>
      <c r="C6" s="86" t="s">
        <v>1225</v>
      </c>
      <c r="D6" s="178">
        <v>42810</v>
      </c>
      <c r="E6" s="128"/>
      <c r="F6" s="179"/>
      <c r="G6" s="180"/>
      <c r="H6" s="181"/>
      <c r="I6" s="32">
        <v>44306.05</v>
      </c>
      <c r="J6" s="32">
        <f t="shared" ref="J6:J11" si="0">I6*0.8</f>
        <v>35444.840000000004</v>
      </c>
    </row>
    <row r="7" spans="1:10" ht="12.75" customHeight="1" x14ac:dyDescent="0.2">
      <c r="A7" s="9">
        <v>2</v>
      </c>
      <c r="B7" s="86" t="s">
        <v>1226</v>
      </c>
      <c r="C7" s="19" t="s">
        <v>1151</v>
      </c>
      <c r="D7" s="182">
        <v>42810</v>
      </c>
      <c r="E7" s="128"/>
      <c r="F7" s="179"/>
      <c r="G7" s="180"/>
      <c r="H7" s="181"/>
      <c r="I7" s="32">
        <v>160889.1</v>
      </c>
      <c r="J7" s="32">
        <f t="shared" si="0"/>
        <v>128711.28000000001</v>
      </c>
    </row>
    <row r="8" spans="1:10" ht="12.75" customHeight="1" x14ac:dyDescent="0.2">
      <c r="A8" s="9">
        <v>3</v>
      </c>
      <c r="B8" s="86" t="s">
        <v>1227</v>
      </c>
      <c r="C8" s="19" t="s">
        <v>1151</v>
      </c>
      <c r="D8" s="182">
        <v>42810</v>
      </c>
      <c r="E8" s="128"/>
      <c r="F8" s="179"/>
      <c r="G8" s="180"/>
      <c r="H8" s="181"/>
      <c r="I8" s="32">
        <v>103537</v>
      </c>
      <c r="J8" s="32">
        <f t="shared" si="0"/>
        <v>82829.600000000006</v>
      </c>
    </row>
    <row r="9" spans="1:10" x14ac:dyDescent="0.2">
      <c r="A9" s="9">
        <v>4</v>
      </c>
      <c r="B9" s="86" t="s">
        <v>1228</v>
      </c>
      <c r="C9" s="86" t="s">
        <v>1229</v>
      </c>
      <c r="D9" s="182">
        <v>42810</v>
      </c>
      <c r="E9" s="128"/>
      <c r="F9" s="179"/>
      <c r="G9" s="180"/>
      <c r="H9" s="181"/>
      <c r="I9" s="32">
        <v>96368.28</v>
      </c>
      <c r="J9" s="32">
        <f t="shared" si="0"/>
        <v>77094.623999999996</v>
      </c>
    </row>
    <row r="10" spans="1:10" x14ac:dyDescent="0.2">
      <c r="A10" s="9">
        <v>5</v>
      </c>
      <c r="B10" s="105" t="s">
        <v>1450</v>
      </c>
      <c r="C10" s="105" t="s">
        <v>1451</v>
      </c>
      <c r="D10" s="182">
        <v>44305</v>
      </c>
      <c r="E10" s="128"/>
      <c r="F10" s="125"/>
      <c r="G10" s="126"/>
      <c r="H10" s="127"/>
      <c r="I10" s="32">
        <v>45692.25</v>
      </c>
      <c r="J10" s="32">
        <f t="shared" si="0"/>
        <v>36553.800000000003</v>
      </c>
    </row>
    <row r="11" spans="1:10" x14ac:dyDescent="0.2">
      <c r="A11" s="9">
        <v>6</v>
      </c>
      <c r="B11" s="105" t="s">
        <v>1452</v>
      </c>
      <c r="C11" s="105" t="s">
        <v>1453</v>
      </c>
      <c r="D11" s="182">
        <v>44305</v>
      </c>
      <c r="E11" s="128"/>
      <c r="F11" s="125"/>
      <c r="G11" s="126"/>
      <c r="H11" s="127"/>
      <c r="I11" s="32">
        <v>333970</v>
      </c>
      <c r="J11" s="32">
        <f t="shared" si="0"/>
        <v>267176</v>
      </c>
    </row>
    <row r="12" spans="1:10" x14ac:dyDescent="0.2">
      <c r="A12" s="9"/>
      <c r="B12" s="9"/>
      <c r="C12" s="9"/>
      <c r="D12" s="128"/>
      <c r="E12" s="128"/>
      <c r="F12" s="125"/>
      <c r="G12" s="126"/>
      <c r="H12" s="127"/>
      <c r="I12" s="32"/>
      <c r="J12" s="32"/>
    </row>
    <row r="13" spans="1:10" x14ac:dyDescent="0.2">
      <c r="A13" s="9"/>
      <c r="B13" s="9"/>
      <c r="C13" s="9"/>
      <c r="D13" s="128"/>
      <c r="E13" s="128"/>
      <c r="F13" s="125"/>
      <c r="G13" s="126"/>
      <c r="H13" s="127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784762.68</v>
      </c>
      <c r="J14" s="33">
        <f>SUM(J6:J13)</f>
        <v>627810.14400000009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82">
        <v>1</v>
      </c>
      <c r="B19" s="153"/>
      <c r="C19" s="154"/>
      <c r="D19" s="82">
        <v>113801</v>
      </c>
      <c r="E19" s="155"/>
      <c r="F19" s="168"/>
      <c r="G19" s="157" t="s">
        <v>1454</v>
      </c>
      <c r="H19" s="156"/>
      <c r="I19" s="158"/>
      <c r="J19" s="159"/>
    </row>
    <row r="20" spans="1:10" x14ac:dyDescent="0.2">
      <c r="A20" s="82"/>
      <c r="B20" s="153"/>
      <c r="C20" s="154"/>
      <c r="D20" s="82"/>
      <c r="E20" s="155"/>
      <c r="F20" s="156"/>
      <c r="G20" s="157"/>
      <c r="H20" s="156"/>
      <c r="I20" s="158"/>
      <c r="J20" s="159"/>
    </row>
    <row r="21" spans="1:10" x14ac:dyDescent="0.2">
      <c r="A21" s="19"/>
      <c r="B21" s="160"/>
      <c r="C21" s="161"/>
      <c r="D21" s="19"/>
      <c r="E21" s="162"/>
      <c r="F21" s="163"/>
      <c r="G21" s="164"/>
      <c r="H21" s="165"/>
      <c r="I21" s="166"/>
      <c r="J21" s="167"/>
    </row>
    <row r="22" spans="1:10" x14ac:dyDescent="0.2">
      <c r="A22" s="19"/>
      <c r="B22" s="137"/>
      <c r="C22" s="137"/>
      <c r="D22" s="19"/>
      <c r="E22" s="137"/>
      <c r="F22" s="137"/>
      <c r="G22" s="137"/>
      <c r="H22" s="137"/>
      <c r="I22" s="138"/>
      <c r="J22" s="138"/>
    </row>
    <row r="23" spans="1:10" x14ac:dyDescent="0.2">
      <c r="A23" s="19"/>
      <c r="B23" s="137"/>
      <c r="C23" s="137"/>
      <c r="D23" s="19"/>
      <c r="E23" s="137"/>
      <c r="F23" s="137"/>
      <c r="G23" s="137"/>
      <c r="H23" s="137"/>
      <c r="I23" s="138"/>
      <c r="J23" s="138"/>
    </row>
    <row r="24" spans="1:10" x14ac:dyDescent="0.2">
      <c r="A24" s="58"/>
      <c r="B24" s="151"/>
      <c r="C24" s="151"/>
      <c r="D24" s="58"/>
      <c r="E24" s="151"/>
      <c r="F24" s="151"/>
      <c r="G24" s="151"/>
      <c r="H24" s="151"/>
      <c r="I24" s="152"/>
      <c r="J24" s="152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0" x14ac:dyDescent="0.2">
      <c r="A27" s="9"/>
      <c r="B27" s="128"/>
      <c r="C27" s="128"/>
      <c r="D27" s="9"/>
      <c r="E27" s="128"/>
      <c r="F27" s="128"/>
      <c r="G27" s="128"/>
      <c r="H27" s="128"/>
      <c r="I27" s="136"/>
      <c r="J27" s="136"/>
    </row>
    <row r="28" spans="1:10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0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627810.14400000009</v>
      </c>
      <c r="J31" s="148"/>
    </row>
    <row r="32" spans="1:10" x14ac:dyDescent="0.2">
      <c r="A32" s="134" t="s">
        <v>1258</v>
      </c>
      <c r="B32" s="134"/>
      <c r="C32" s="134"/>
      <c r="D32" s="134"/>
      <c r="E32" s="134"/>
      <c r="F32" s="134"/>
      <c r="G32" s="134"/>
      <c r="H32" s="134"/>
      <c r="I32" s="135">
        <v>191437.58</v>
      </c>
      <c r="J32" s="135"/>
    </row>
    <row r="33" spans="1:10" x14ac:dyDescent="0.2">
      <c r="A33" s="134" t="s">
        <v>1293</v>
      </c>
      <c r="B33" s="134"/>
      <c r="C33" s="134"/>
      <c r="D33" s="134"/>
      <c r="E33" s="134"/>
      <c r="F33" s="134"/>
      <c r="G33" s="134"/>
      <c r="H33" s="134"/>
      <c r="I33" s="135">
        <v>73593.75</v>
      </c>
      <c r="J33" s="135"/>
    </row>
    <row r="34" spans="1:10" x14ac:dyDescent="0.2">
      <c r="A34" s="134" t="s">
        <v>1363</v>
      </c>
      <c r="B34" s="134"/>
      <c r="C34" s="134"/>
      <c r="D34" s="134"/>
      <c r="E34" s="134"/>
      <c r="F34" s="134"/>
      <c r="G34" s="134"/>
      <c r="H34" s="134"/>
      <c r="I34" s="135">
        <v>59049.01</v>
      </c>
      <c r="J34" s="135"/>
    </row>
    <row r="35" spans="1:10" x14ac:dyDescent="0.2">
      <c r="A35" s="141"/>
      <c r="B35" s="142"/>
      <c r="C35" s="142"/>
      <c r="D35" s="142"/>
      <c r="E35" s="142"/>
      <c r="F35" s="142"/>
      <c r="G35" s="142"/>
      <c r="H35" s="143"/>
      <c r="I35" s="146"/>
      <c r="J35" s="147"/>
    </row>
    <row r="36" spans="1:10" ht="13.5" thickBot="1" x14ac:dyDescent="0.25">
      <c r="A36" s="144" t="s">
        <v>50</v>
      </c>
      <c r="B36" s="144"/>
      <c r="C36" s="144"/>
      <c r="D36" s="144"/>
      <c r="E36" s="144"/>
      <c r="F36" s="144"/>
      <c r="G36" s="144"/>
      <c r="H36" s="144"/>
      <c r="I36" s="145">
        <f>I28</f>
        <v>0</v>
      </c>
      <c r="J36" s="145"/>
    </row>
    <row r="37" spans="1:10" ht="13.5" thickTop="1" x14ac:dyDescent="0.2">
      <c r="H37" s="18" t="s">
        <v>33</v>
      </c>
      <c r="I37" s="129">
        <f>I31-I32-I33-I34-I36</f>
        <v>303729.80400000012</v>
      </c>
      <c r="J37" s="130"/>
    </row>
    <row r="39" spans="1:10" ht="15" x14ac:dyDescent="0.25">
      <c r="A39" s="131" t="s">
        <v>51</v>
      </c>
      <c r="B39" s="132"/>
      <c r="C39" s="132"/>
      <c r="D39" s="132"/>
      <c r="E39" s="132"/>
      <c r="F39" s="132"/>
      <c r="G39" s="132"/>
      <c r="H39" s="132"/>
      <c r="I39" s="132"/>
      <c r="J39" s="133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</sheetData>
  <mergeCells count="84">
    <mergeCell ref="F13:H13"/>
    <mergeCell ref="F4:H5"/>
    <mergeCell ref="I4:I5"/>
    <mergeCell ref="J4:J5"/>
    <mergeCell ref="D6:E6"/>
    <mergeCell ref="F6:H6"/>
    <mergeCell ref="D9:E9"/>
    <mergeCell ref="F9:H9"/>
    <mergeCell ref="F8:H8"/>
    <mergeCell ref="D13:E13"/>
    <mergeCell ref="D7:E7"/>
    <mergeCell ref="F7:H7"/>
    <mergeCell ref="D8:E8"/>
    <mergeCell ref="D10:E10"/>
    <mergeCell ref="F10:H10"/>
    <mergeCell ref="D11:E11"/>
    <mergeCell ref="G1:H1"/>
    <mergeCell ref="A3:J3"/>
    <mergeCell ref="A4:A5"/>
    <mergeCell ref="B4:C4"/>
    <mergeCell ref="D4:E5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21:C21"/>
    <mergeCell ref="E21:F21"/>
    <mergeCell ref="G21:H21"/>
    <mergeCell ref="I21:J21"/>
    <mergeCell ref="B27:C27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A40:J45"/>
    <mergeCell ref="E27:F27"/>
    <mergeCell ref="G27:H27"/>
    <mergeCell ref="I27:J27"/>
    <mergeCell ref="I28:J28"/>
    <mergeCell ref="A35:H35"/>
    <mergeCell ref="A33:H33"/>
    <mergeCell ref="I33:J33"/>
    <mergeCell ref="A36:H36"/>
    <mergeCell ref="I36:J36"/>
    <mergeCell ref="I35:J35"/>
    <mergeCell ref="A31:H31"/>
    <mergeCell ref="I31:J31"/>
    <mergeCell ref="I30:J30"/>
    <mergeCell ref="A32:H32"/>
    <mergeCell ref="I32:J32"/>
    <mergeCell ref="F11:H11"/>
    <mergeCell ref="D12:E12"/>
    <mergeCell ref="F12:H12"/>
    <mergeCell ref="I37:J37"/>
    <mergeCell ref="A39:J39"/>
    <mergeCell ref="A34:H34"/>
    <mergeCell ref="I34:J34"/>
    <mergeCell ref="I25:J25"/>
    <mergeCell ref="B26:C26"/>
    <mergeCell ref="E26:F26"/>
    <mergeCell ref="G26:H26"/>
    <mergeCell ref="I26:J26"/>
    <mergeCell ref="B22:C22"/>
    <mergeCell ref="E22:F22"/>
    <mergeCell ref="G22:H22"/>
    <mergeCell ref="I22:J2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4"/>
  <sheetViews>
    <sheetView topLeftCell="A10" workbookViewId="0">
      <selection activeCell="E19" sqref="E19:F19"/>
    </sheetView>
  </sheetViews>
  <sheetFormatPr defaultRowHeight="12.75" x14ac:dyDescent="0.2"/>
  <cols>
    <col min="6" max="6" width="12.42578125" customWidth="1"/>
    <col min="7" max="7" width="13.140625" customWidth="1"/>
    <col min="8" max="8" width="15.42578125" customWidth="1"/>
    <col min="9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1281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69" t="s">
        <v>821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/>
      <c r="B6" s="128"/>
      <c r="C6" s="128"/>
      <c r="D6" s="128"/>
      <c r="E6" s="128"/>
      <c r="F6" s="12"/>
      <c r="G6" s="169"/>
      <c r="H6" s="169"/>
      <c r="I6" s="32"/>
      <c r="J6" s="32"/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32"/>
      <c r="J7" s="32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2"/>
      <c r="J8" s="32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0</v>
      </c>
      <c r="J14" s="33">
        <f>SUM(J6:J13)</f>
        <v>0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82"/>
      <c r="B19" s="252"/>
      <c r="C19" s="198"/>
      <c r="D19" s="82">
        <v>113818</v>
      </c>
      <c r="E19" s="253"/>
      <c r="F19" s="198"/>
      <c r="G19" s="198" t="s">
        <v>1412</v>
      </c>
      <c r="H19" s="198"/>
      <c r="I19" s="199">
        <v>93600</v>
      </c>
      <c r="J19" s="199"/>
    </row>
    <row r="20" spans="1:10" x14ac:dyDescent="0.2">
      <c r="A20" s="19"/>
      <c r="B20" s="225"/>
      <c r="C20" s="137"/>
      <c r="D20" s="19"/>
      <c r="E20" s="196"/>
      <c r="F20" s="137"/>
      <c r="G20" s="137"/>
      <c r="H20" s="137"/>
      <c r="I20" s="138"/>
      <c r="J20" s="138"/>
    </row>
    <row r="21" spans="1:10" x14ac:dyDescent="0.2">
      <c r="A21" s="19"/>
      <c r="B21" s="225"/>
      <c r="C21" s="137"/>
      <c r="D21" s="19"/>
      <c r="E21" s="196"/>
      <c r="F21" s="137"/>
      <c r="G21" s="137"/>
      <c r="H21" s="137"/>
      <c r="I21" s="138"/>
      <c r="J21" s="138"/>
    </row>
    <row r="22" spans="1:10" x14ac:dyDescent="0.2">
      <c r="A22" s="19"/>
      <c r="B22" s="137"/>
      <c r="C22" s="137"/>
      <c r="D22" s="19"/>
      <c r="E22" s="137"/>
      <c r="F22" s="137"/>
      <c r="G22" s="137"/>
      <c r="H22" s="137"/>
      <c r="I22" s="138"/>
      <c r="J22" s="138"/>
    </row>
    <row r="23" spans="1:10" x14ac:dyDescent="0.2">
      <c r="A23" s="82"/>
      <c r="B23" s="198"/>
      <c r="C23" s="198"/>
      <c r="D23" s="82"/>
      <c r="E23" s="198"/>
      <c r="F23" s="198"/>
      <c r="G23" s="198"/>
      <c r="H23" s="198"/>
      <c r="I23" s="199"/>
      <c r="J23" s="199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136"/>
      <c r="J24" s="136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ht="13.5" thickBot="1" x14ac:dyDescent="0.25">
      <c r="A26" s="9"/>
      <c r="B26" s="128"/>
      <c r="C26" s="128"/>
      <c r="D26" s="9"/>
      <c r="E26" s="128"/>
      <c r="F26" s="128"/>
      <c r="G26" s="128"/>
      <c r="H26" s="128"/>
      <c r="I26" s="226"/>
      <c r="J26" s="22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0">
        <f>SUM(I19:J26)</f>
        <v>93600</v>
      </c>
      <c r="J27" s="140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49" t="s">
        <v>47</v>
      </c>
      <c r="J29" s="150"/>
    </row>
    <row r="30" spans="1:10" x14ac:dyDescent="0.2">
      <c r="A30" s="144" t="s">
        <v>48</v>
      </c>
      <c r="B30" s="144"/>
      <c r="C30" s="144"/>
      <c r="D30" s="144"/>
      <c r="E30" s="144"/>
      <c r="F30" s="144"/>
      <c r="G30" s="144"/>
      <c r="H30" s="144"/>
      <c r="I30" s="148">
        <f>I14*80%</f>
        <v>0</v>
      </c>
      <c r="J30" s="148"/>
    </row>
    <row r="31" spans="1:10" x14ac:dyDescent="0.2">
      <c r="A31" s="144" t="s">
        <v>49</v>
      </c>
      <c r="B31" s="144"/>
      <c r="C31" s="144"/>
      <c r="D31" s="144"/>
      <c r="E31" s="144"/>
      <c r="F31" s="144"/>
      <c r="G31" s="144"/>
      <c r="H31" s="144"/>
      <c r="I31" s="184">
        <v>0</v>
      </c>
      <c r="J31" s="184"/>
    </row>
    <row r="32" spans="1:10" x14ac:dyDescent="0.2">
      <c r="A32" s="231" t="s">
        <v>1282</v>
      </c>
      <c r="B32" s="231"/>
      <c r="C32" s="231"/>
      <c r="D32" s="231"/>
      <c r="E32" s="231"/>
      <c r="F32" s="231"/>
      <c r="G32" s="231"/>
      <c r="H32" s="231"/>
      <c r="I32" s="254">
        <v>100000</v>
      </c>
      <c r="J32" s="254"/>
    </row>
    <row r="33" spans="1:10" x14ac:dyDescent="0.2">
      <c r="A33" s="134" t="s">
        <v>1332</v>
      </c>
      <c r="B33" s="134"/>
      <c r="C33" s="134"/>
      <c r="D33" s="134"/>
      <c r="E33" s="134"/>
      <c r="F33" s="134"/>
      <c r="G33" s="134"/>
      <c r="H33" s="134"/>
      <c r="I33" s="135">
        <v>-74421.33</v>
      </c>
      <c r="J33" s="135"/>
    </row>
    <row r="34" spans="1:10" x14ac:dyDescent="0.2">
      <c r="A34" s="231" t="s">
        <v>1463</v>
      </c>
      <c r="B34" s="231"/>
      <c r="C34" s="231"/>
      <c r="D34" s="231"/>
      <c r="E34" s="231"/>
      <c r="F34" s="231"/>
      <c r="G34" s="231"/>
      <c r="H34" s="231"/>
      <c r="I34" s="254">
        <v>250000</v>
      </c>
      <c r="J34" s="254"/>
    </row>
    <row r="35" spans="1:10" ht="13.5" thickBot="1" x14ac:dyDescent="0.25">
      <c r="A35" s="144" t="s">
        <v>50</v>
      </c>
      <c r="B35" s="144"/>
      <c r="C35" s="144"/>
      <c r="D35" s="144"/>
      <c r="E35" s="144"/>
      <c r="F35" s="144"/>
      <c r="G35" s="144"/>
      <c r="H35" s="144"/>
      <c r="I35" s="145">
        <f>I27</f>
        <v>93600</v>
      </c>
      <c r="J35" s="145"/>
    </row>
    <row r="36" spans="1:10" ht="13.5" thickTop="1" x14ac:dyDescent="0.2">
      <c r="H36" s="18" t="s">
        <v>33</v>
      </c>
      <c r="I36" s="129">
        <f>I30+I31+I32+I33+I34-I35</f>
        <v>181978.66999999998</v>
      </c>
      <c r="J36" s="130"/>
    </row>
    <row r="38" spans="1:10" ht="15" x14ac:dyDescent="0.25">
      <c r="A38" s="131" t="s">
        <v>51</v>
      </c>
      <c r="B38" s="132"/>
      <c r="C38" s="132"/>
      <c r="D38" s="132"/>
      <c r="E38" s="132"/>
      <c r="F38" s="132"/>
      <c r="G38" s="132"/>
      <c r="H38" s="132"/>
      <c r="I38" s="132"/>
      <c r="J38" s="133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</sheetData>
  <mergeCells count="89">
    <mergeCell ref="I31:J31"/>
    <mergeCell ref="I26:J26"/>
    <mergeCell ref="A39:J44"/>
    <mergeCell ref="A32:H32"/>
    <mergeCell ref="I32:J32"/>
    <mergeCell ref="A35:H35"/>
    <mergeCell ref="I35:J35"/>
    <mergeCell ref="I34:J34"/>
    <mergeCell ref="I36:J36"/>
    <mergeCell ref="A38:J38"/>
    <mergeCell ref="A33:H33"/>
    <mergeCell ref="I33:J33"/>
    <mergeCell ref="A34:H34"/>
    <mergeCell ref="I29:J29"/>
    <mergeCell ref="A30:H30"/>
    <mergeCell ref="I30:J30"/>
    <mergeCell ref="A31:H31"/>
    <mergeCell ref="I27:J27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J43"/>
  <sheetViews>
    <sheetView topLeftCell="A7" workbookViewId="0">
      <selection activeCell="I33" sqref="I33:J33"/>
    </sheetView>
  </sheetViews>
  <sheetFormatPr defaultRowHeight="12.75" x14ac:dyDescent="0.2"/>
  <cols>
    <col min="8" max="9" width="14.5703125" customWidth="1"/>
    <col min="10" max="10" width="14.85546875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820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69" t="s">
        <v>821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1231154</v>
      </c>
      <c r="C6" s="128"/>
      <c r="D6" s="128">
        <v>1231146</v>
      </c>
      <c r="E6" s="128"/>
      <c r="F6" s="12">
        <v>39967</v>
      </c>
      <c r="G6" s="169"/>
      <c r="H6" s="169"/>
      <c r="I6" s="32">
        <v>313345.03999999998</v>
      </c>
      <c r="J6" s="32">
        <f>I6*0.8</f>
        <v>250676.03200000001</v>
      </c>
    </row>
    <row r="7" spans="1:10" x14ac:dyDescent="0.2">
      <c r="A7" s="9">
        <v>2</v>
      </c>
      <c r="B7" s="128">
        <v>1230220</v>
      </c>
      <c r="C7" s="128"/>
      <c r="D7" s="128">
        <v>1230239</v>
      </c>
      <c r="E7" s="128"/>
      <c r="F7" s="12">
        <v>41724</v>
      </c>
      <c r="G7" s="169"/>
      <c r="H7" s="169"/>
      <c r="I7" s="32">
        <v>563030.30000000005</v>
      </c>
      <c r="J7" s="32">
        <f>I7*0.8</f>
        <v>450424.24000000005</v>
      </c>
    </row>
    <row r="8" spans="1:10" x14ac:dyDescent="0.2">
      <c r="A8" s="9">
        <v>3</v>
      </c>
      <c r="B8" s="128">
        <v>1247646</v>
      </c>
      <c r="C8" s="128"/>
      <c r="D8" s="128">
        <v>1247647</v>
      </c>
      <c r="E8" s="128"/>
      <c r="F8" s="12">
        <v>43132</v>
      </c>
      <c r="G8" s="169"/>
      <c r="H8" s="169"/>
      <c r="I8" s="32">
        <v>526450.98</v>
      </c>
      <c r="J8" s="32">
        <f>I8*0.8</f>
        <v>421160.78399999999</v>
      </c>
    </row>
    <row r="9" spans="1:10" x14ac:dyDescent="0.2">
      <c r="A9" s="9">
        <v>4</v>
      </c>
      <c r="B9" s="128">
        <v>1249606</v>
      </c>
      <c r="C9" s="128"/>
      <c r="D9" s="128">
        <v>1249607</v>
      </c>
      <c r="E9" s="128"/>
      <c r="F9" s="12">
        <v>44210</v>
      </c>
      <c r="G9" s="255" t="s">
        <v>1434</v>
      </c>
      <c r="H9" s="169"/>
      <c r="I9" s="32">
        <v>1058024.6599999999</v>
      </c>
      <c r="J9" s="32">
        <f>I9*0.8</f>
        <v>846419.728</v>
      </c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2460850.98</v>
      </c>
      <c r="J14" s="33">
        <f>SUM(J6:J13)</f>
        <v>1968680.784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/>
      <c r="C19" s="128"/>
      <c r="D19" s="9">
        <v>86051</v>
      </c>
      <c r="E19" s="182">
        <v>40931</v>
      </c>
      <c r="F19" s="128"/>
      <c r="G19" s="128" t="s">
        <v>822</v>
      </c>
      <c r="H19" s="128"/>
      <c r="I19" s="136">
        <v>25000</v>
      </c>
      <c r="J19" s="136"/>
    </row>
    <row r="20" spans="1:10" x14ac:dyDescent="0.2">
      <c r="A20" s="19">
        <v>2</v>
      </c>
      <c r="B20" s="225"/>
      <c r="C20" s="137"/>
      <c r="D20" s="19">
        <v>87079</v>
      </c>
      <c r="E20" s="196">
        <v>42752</v>
      </c>
      <c r="F20" s="137"/>
      <c r="G20" s="137" t="s">
        <v>828</v>
      </c>
      <c r="H20" s="137"/>
      <c r="I20" s="138">
        <v>175927.5</v>
      </c>
      <c r="J20" s="138"/>
    </row>
    <row r="21" spans="1:10" x14ac:dyDescent="0.2">
      <c r="A21" s="19"/>
      <c r="B21" s="225"/>
      <c r="C21" s="137"/>
      <c r="D21" s="19">
        <v>87270</v>
      </c>
      <c r="E21" s="196" t="s">
        <v>864</v>
      </c>
      <c r="F21" s="137"/>
      <c r="G21" s="137"/>
      <c r="H21" s="137"/>
      <c r="I21" s="138">
        <v>17812.400000000001</v>
      </c>
      <c r="J21" s="138"/>
    </row>
    <row r="22" spans="1:10" x14ac:dyDescent="0.2">
      <c r="A22" s="19"/>
      <c r="B22" s="128" t="s">
        <v>1105</v>
      </c>
      <c r="C22" s="137"/>
      <c r="D22" s="19">
        <v>94801</v>
      </c>
      <c r="E22" s="196">
        <v>42213</v>
      </c>
      <c r="F22" s="137"/>
      <c r="G22" s="137" t="s">
        <v>1106</v>
      </c>
      <c r="H22" s="137"/>
      <c r="I22" s="138">
        <v>90000</v>
      </c>
      <c r="J22" s="138"/>
    </row>
    <row r="23" spans="1:10" x14ac:dyDescent="0.2">
      <c r="A23" s="82"/>
      <c r="B23" s="198"/>
      <c r="C23" s="198"/>
      <c r="D23" s="82">
        <v>111832</v>
      </c>
      <c r="E23" s="198"/>
      <c r="F23" s="198"/>
      <c r="G23" s="198" t="s">
        <v>1344</v>
      </c>
      <c r="H23" s="198"/>
      <c r="I23" s="199">
        <v>160800</v>
      </c>
      <c r="J23" s="199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136"/>
      <c r="J24" s="136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ht="13.5" thickBot="1" x14ac:dyDescent="0.25">
      <c r="A26" s="9"/>
      <c r="B26" s="128"/>
      <c r="C26" s="128"/>
      <c r="D26" s="9"/>
      <c r="E26" s="128"/>
      <c r="F26" s="128"/>
      <c r="G26" s="128"/>
      <c r="H26" s="128"/>
      <c r="I26" s="226"/>
      <c r="J26" s="22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0">
        <f>SUM(I19:J26)</f>
        <v>469539.9</v>
      </c>
      <c r="J27" s="140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49" t="s">
        <v>47</v>
      </c>
      <c r="J29" s="150"/>
    </row>
    <row r="30" spans="1:10" x14ac:dyDescent="0.2">
      <c r="A30" s="144" t="s">
        <v>48</v>
      </c>
      <c r="B30" s="144"/>
      <c r="C30" s="144"/>
      <c r="D30" s="144"/>
      <c r="E30" s="144"/>
      <c r="F30" s="144"/>
      <c r="G30" s="144"/>
      <c r="H30" s="144"/>
      <c r="I30" s="148">
        <f>I14*80%</f>
        <v>1968680.784</v>
      </c>
      <c r="J30" s="148"/>
    </row>
    <row r="31" spans="1:10" x14ac:dyDescent="0.2">
      <c r="A31" s="144" t="s">
        <v>49</v>
      </c>
      <c r="B31" s="144"/>
      <c r="C31" s="144"/>
      <c r="D31" s="144"/>
      <c r="E31" s="144"/>
      <c r="F31" s="144"/>
      <c r="G31" s="144"/>
      <c r="H31" s="144"/>
      <c r="I31" s="184">
        <v>0</v>
      </c>
      <c r="J31" s="184"/>
    </row>
    <row r="32" spans="1:10" x14ac:dyDescent="0.2">
      <c r="A32" s="134" t="s">
        <v>1323</v>
      </c>
      <c r="B32" s="134"/>
      <c r="C32" s="134"/>
      <c r="D32" s="134"/>
      <c r="E32" s="134"/>
      <c r="F32" s="134"/>
      <c r="G32" s="134"/>
      <c r="H32" s="134"/>
      <c r="I32" s="135">
        <v>-111000.97</v>
      </c>
      <c r="J32" s="135"/>
    </row>
    <row r="33" spans="1:10" x14ac:dyDescent="0.2">
      <c r="A33" s="134" t="s">
        <v>1324</v>
      </c>
      <c r="B33" s="134"/>
      <c r="C33" s="134"/>
      <c r="D33" s="134"/>
      <c r="E33" s="134"/>
      <c r="F33" s="134"/>
      <c r="G33" s="134"/>
      <c r="H33" s="134"/>
      <c r="I33" s="135">
        <v>-96536.72</v>
      </c>
      <c r="J33" s="135"/>
    </row>
    <row r="34" spans="1:10" ht="13.5" thickBot="1" x14ac:dyDescent="0.25">
      <c r="A34" s="144" t="s">
        <v>50</v>
      </c>
      <c r="B34" s="144"/>
      <c r="C34" s="144"/>
      <c r="D34" s="144"/>
      <c r="E34" s="144"/>
      <c r="F34" s="144"/>
      <c r="G34" s="144"/>
      <c r="H34" s="144"/>
      <c r="I34" s="145">
        <f>I27</f>
        <v>469539.9</v>
      </c>
      <c r="J34" s="145"/>
    </row>
    <row r="35" spans="1:10" ht="13.5" thickTop="1" x14ac:dyDescent="0.2">
      <c r="H35" s="18" t="s">
        <v>33</v>
      </c>
      <c r="I35" s="129">
        <f>I30+I31+I32+I33-I34</f>
        <v>1291603.1940000001</v>
      </c>
      <c r="J35" s="130"/>
    </row>
    <row r="37" spans="1:10" ht="15" x14ac:dyDescent="0.25">
      <c r="A37" s="131" t="s">
        <v>51</v>
      </c>
      <c r="B37" s="132"/>
      <c r="C37" s="132"/>
      <c r="D37" s="132"/>
      <c r="E37" s="132"/>
      <c r="F37" s="132"/>
      <c r="G37" s="132"/>
      <c r="H37" s="132"/>
      <c r="I37" s="132"/>
      <c r="J37" s="133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</sheetData>
  <mergeCells count="87">
    <mergeCell ref="I27:J27"/>
    <mergeCell ref="B26:C26"/>
    <mergeCell ref="I35:J35"/>
    <mergeCell ref="A37:J37"/>
    <mergeCell ref="A38:J43"/>
    <mergeCell ref="A34:H34"/>
    <mergeCell ref="I34:J34"/>
    <mergeCell ref="I29:J29"/>
    <mergeCell ref="A30:H30"/>
    <mergeCell ref="I30:J30"/>
    <mergeCell ref="A33:H33"/>
    <mergeCell ref="I33:J33"/>
    <mergeCell ref="I32:J32"/>
    <mergeCell ref="A32:H32"/>
    <mergeCell ref="A31:H31"/>
    <mergeCell ref="I31:J31"/>
    <mergeCell ref="B23:C23"/>
    <mergeCell ref="E23:F23"/>
    <mergeCell ref="G23:H23"/>
    <mergeCell ref="I23:J23"/>
    <mergeCell ref="E26:F26"/>
    <mergeCell ref="G26:H26"/>
    <mergeCell ref="I26:J26"/>
    <mergeCell ref="E25:F25"/>
    <mergeCell ref="I25:J25"/>
    <mergeCell ref="B24:C24"/>
    <mergeCell ref="E24:F24"/>
    <mergeCell ref="G24:H24"/>
    <mergeCell ref="I24:J24"/>
    <mergeCell ref="B25:C25"/>
    <mergeCell ref="G25:H25"/>
    <mergeCell ref="E21:F21"/>
    <mergeCell ref="G21:H21"/>
    <mergeCell ref="I21:J21"/>
    <mergeCell ref="B22:C22"/>
    <mergeCell ref="E22:F22"/>
    <mergeCell ref="G22:H22"/>
    <mergeCell ref="I22:J22"/>
    <mergeCell ref="B21:C21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4"/>
  <sheetViews>
    <sheetView workbookViewId="0">
      <selection activeCell="I20" sqref="I20:J20"/>
    </sheetView>
  </sheetViews>
  <sheetFormatPr defaultRowHeight="12.75" x14ac:dyDescent="0.2"/>
  <cols>
    <col min="9" max="9" width="12.7109375" bestFit="1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1457</v>
      </c>
      <c r="B2" s="6"/>
      <c r="C2" s="6"/>
      <c r="D2" s="6"/>
      <c r="E2" s="6"/>
      <c r="F2" s="6"/>
      <c r="G2" s="6"/>
      <c r="H2" s="6"/>
      <c r="I2" s="6"/>
      <c r="J2" s="7" t="s">
        <v>185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173"/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0" x14ac:dyDescent="0.2">
      <c r="A6" s="9"/>
      <c r="B6" s="128"/>
      <c r="C6" s="128"/>
      <c r="D6" s="128"/>
      <c r="E6" s="128"/>
      <c r="F6" s="12"/>
      <c r="G6" s="169"/>
      <c r="H6" s="169"/>
      <c r="I6" s="64"/>
      <c r="J6" s="70"/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64"/>
      <c r="J7" s="70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64"/>
      <c r="J8" s="70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64"/>
      <c r="J9" s="70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64"/>
      <c r="J10" s="70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64"/>
      <c r="J11" s="70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64"/>
      <c r="J12" s="70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65"/>
      <c r="J13" s="72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66">
        <f>SUM(I6:I13)</f>
        <v>0</v>
      </c>
      <c r="J14" s="66">
        <f>SUM(J6:J13)</f>
        <v>0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/>
      <c r="C19" s="128"/>
      <c r="D19" s="9">
        <v>106463</v>
      </c>
      <c r="E19" s="182"/>
      <c r="F19" s="128"/>
      <c r="G19" s="225" t="s">
        <v>1474</v>
      </c>
      <c r="H19" s="128"/>
      <c r="I19" s="136">
        <v>440776.54</v>
      </c>
      <c r="J19" s="136"/>
    </row>
    <row r="20" spans="1:10" x14ac:dyDescent="0.2">
      <c r="A20" s="9"/>
      <c r="B20" s="183"/>
      <c r="C20" s="128"/>
      <c r="D20" s="9"/>
      <c r="E20" s="182"/>
      <c r="F20" s="128"/>
      <c r="G20" s="183"/>
      <c r="H20" s="128"/>
      <c r="I20" s="136"/>
      <c r="J20" s="136"/>
    </row>
    <row r="21" spans="1:10" x14ac:dyDescent="0.2">
      <c r="A21" s="9"/>
      <c r="B21" s="183"/>
      <c r="C21" s="128"/>
      <c r="D21" s="9"/>
      <c r="E21" s="182"/>
      <c r="F21" s="128"/>
      <c r="G21" s="128"/>
      <c r="H21" s="128"/>
      <c r="I21" s="136"/>
      <c r="J21" s="136"/>
    </row>
    <row r="22" spans="1:10" x14ac:dyDescent="0.2">
      <c r="A22" s="19"/>
      <c r="B22" s="137"/>
      <c r="C22" s="137"/>
      <c r="D22" s="19"/>
      <c r="E22" s="137"/>
      <c r="F22" s="137"/>
      <c r="G22" s="137"/>
      <c r="H22" s="137"/>
      <c r="I22" s="138"/>
      <c r="J22" s="138"/>
    </row>
    <row r="23" spans="1:10" x14ac:dyDescent="0.2">
      <c r="A23" s="19"/>
      <c r="B23" s="137"/>
      <c r="C23" s="137"/>
      <c r="D23" s="19"/>
      <c r="E23" s="137"/>
      <c r="F23" s="137"/>
      <c r="G23" s="137"/>
      <c r="H23" s="137"/>
      <c r="I23" s="138"/>
      <c r="J23" s="138"/>
    </row>
    <row r="24" spans="1:10" x14ac:dyDescent="0.2">
      <c r="A24" s="19"/>
      <c r="B24" s="137"/>
      <c r="C24" s="137"/>
      <c r="D24" s="19"/>
      <c r="E24" s="137"/>
      <c r="F24" s="137"/>
      <c r="G24" s="137"/>
      <c r="H24" s="137"/>
      <c r="I24" s="138"/>
      <c r="J24" s="138"/>
    </row>
    <row r="25" spans="1:10" x14ac:dyDescent="0.2">
      <c r="A25" s="58"/>
      <c r="B25" s="151"/>
      <c r="C25" s="151"/>
      <c r="D25" s="58"/>
      <c r="E25" s="151"/>
      <c r="F25" s="151"/>
      <c r="G25" s="151"/>
      <c r="H25" s="151"/>
      <c r="I25" s="152"/>
      <c r="J25" s="152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0" x14ac:dyDescent="0.2">
      <c r="A27" s="9"/>
      <c r="B27" s="128"/>
      <c r="C27" s="128"/>
      <c r="D27" s="9"/>
      <c r="E27" s="128"/>
      <c r="F27" s="128"/>
      <c r="G27" s="128"/>
      <c r="H27" s="128"/>
      <c r="I27" s="136"/>
      <c r="J27" s="136"/>
    </row>
    <row r="28" spans="1:10" ht="13.5" thickBot="1" x14ac:dyDescent="0.25">
      <c r="A28" s="9"/>
      <c r="B28" s="128"/>
      <c r="C28" s="128"/>
      <c r="D28" s="9"/>
      <c r="E28" s="128"/>
      <c r="F28" s="128"/>
      <c r="G28" s="128"/>
      <c r="H28" s="128"/>
      <c r="I28" s="226"/>
      <c r="J28" s="226"/>
    </row>
    <row r="29" spans="1:10" ht="13.5" thickTop="1" x14ac:dyDescent="0.2">
      <c r="A29" s="13"/>
      <c r="B29" s="13"/>
      <c r="C29" s="13"/>
      <c r="D29" s="13"/>
      <c r="E29" s="13"/>
      <c r="F29" s="13"/>
      <c r="G29" s="13"/>
      <c r="H29" s="13" t="s">
        <v>33</v>
      </c>
      <c r="I29" s="140">
        <f>SUM(I19:J28)</f>
        <v>440776.54</v>
      </c>
      <c r="J29" s="140"/>
    </row>
    <row r="30" spans="1:1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 x14ac:dyDescent="0.25">
      <c r="A31" s="15" t="s">
        <v>46</v>
      </c>
      <c r="B31" s="16"/>
      <c r="C31" s="16"/>
      <c r="D31" s="16"/>
      <c r="E31" s="16"/>
      <c r="F31" s="16"/>
      <c r="G31" s="16"/>
      <c r="H31" s="16"/>
      <c r="I31" s="149" t="s">
        <v>47</v>
      </c>
      <c r="J31" s="150"/>
    </row>
    <row r="32" spans="1:10" x14ac:dyDescent="0.2">
      <c r="A32" s="144" t="s">
        <v>48</v>
      </c>
      <c r="B32" s="144"/>
      <c r="C32" s="144"/>
      <c r="D32" s="144"/>
      <c r="E32" s="144"/>
      <c r="F32" s="144"/>
      <c r="G32" s="144"/>
      <c r="H32" s="144"/>
      <c r="I32" s="148">
        <f>I14*80%</f>
        <v>0</v>
      </c>
      <c r="J32" s="148"/>
    </row>
    <row r="33" spans="1:10" x14ac:dyDescent="0.2">
      <c r="A33" s="231" t="s">
        <v>1473</v>
      </c>
      <c r="B33" s="144"/>
      <c r="C33" s="144"/>
      <c r="D33" s="144"/>
      <c r="E33" s="144"/>
      <c r="F33" s="144"/>
      <c r="G33" s="144"/>
      <c r="H33" s="144"/>
      <c r="I33" s="184">
        <v>440776.54</v>
      </c>
      <c r="J33" s="184"/>
    </row>
    <row r="34" spans="1:10" x14ac:dyDescent="0.2">
      <c r="A34" s="144"/>
      <c r="B34" s="144"/>
      <c r="C34" s="144"/>
      <c r="D34" s="144"/>
      <c r="E34" s="144"/>
      <c r="F34" s="144"/>
      <c r="G34" s="144"/>
      <c r="H34" s="144"/>
      <c r="I34" s="184"/>
      <c r="J34" s="184"/>
    </row>
    <row r="35" spans="1:10" ht="13.5" thickBot="1" x14ac:dyDescent="0.25">
      <c r="A35" s="144" t="s">
        <v>50</v>
      </c>
      <c r="B35" s="144"/>
      <c r="C35" s="144"/>
      <c r="D35" s="144"/>
      <c r="E35" s="144"/>
      <c r="F35" s="144"/>
      <c r="G35" s="144"/>
      <c r="H35" s="144"/>
      <c r="I35" s="145">
        <f>I29</f>
        <v>440776.54</v>
      </c>
      <c r="J35" s="145"/>
    </row>
    <row r="36" spans="1:10" ht="13.5" thickTop="1" x14ac:dyDescent="0.2">
      <c r="H36" s="18" t="s">
        <v>33</v>
      </c>
      <c r="I36" s="129">
        <f>I32+I33-I35</f>
        <v>0</v>
      </c>
      <c r="J36" s="130"/>
    </row>
    <row r="38" spans="1:10" ht="15" x14ac:dyDescent="0.25">
      <c r="A38" s="131" t="s">
        <v>51</v>
      </c>
      <c r="B38" s="132"/>
      <c r="C38" s="132"/>
      <c r="D38" s="132"/>
      <c r="E38" s="132"/>
      <c r="F38" s="132"/>
      <c r="G38" s="132"/>
      <c r="H38" s="132"/>
      <c r="I38" s="132"/>
      <c r="J38" s="133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</sheetData>
  <mergeCells count="92">
    <mergeCell ref="A34:H34"/>
    <mergeCell ref="I34:J34"/>
    <mergeCell ref="A3:J3"/>
    <mergeCell ref="A4:A5"/>
    <mergeCell ref="B4:E4"/>
    <mergeCell ref="F4:F5"/>
    <mergeCell ref="G4:H5"/>
    <mergeCell ref="I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A16:J16"/>
    <mergeCell ref="A17:A18"/>
    <mergeCell ref="B17:C18"/>
    <mergeCell ref="D17:D18"/>
    <mergeCell ref="E17:F18"/>
    <mergeCell ref="G17:H18"/>
    <mergeCell ref="I17:J18"/>
    <mergeCell ref="B19:C19"/>
    <mergeCell ref="E19:F19"/>
    <mergeCell ref="G19:H19"/>
    <mergeCell ref="I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I33:J33"/>
    <mergeCell ref="B27:C27"/>
    <mergeCell ref="E27:F27"/>
    <mergeCell ref="G27:H27"/>
    <mergeCell ref="I27:J27"/>
    <mergeCell ref="B28:C28"/>
    <mergeCell ref="E28:F28"/>
    <mergeCell ref="G28:H28"/>
    <mergeCell ref="I28:J28"/>
    <mergeCell ref="I29:J29"/>
    <mergeCell ref="I31:J31"/>
    <mergeCell ref="A32:H32"/>
    <mergeCell ref="I32:J32"/>
    <mergeCell ref="A33:H33"/>
    <mergeCell ref="A35:H35"/>
    <mergeCell ref="I35:J35"/>
    <mergeCell ref="I36:J36"/>
    <mergeCell ref="A38:J38"/>
    <mergeCell ref="A39:J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K44"/>
  <sheetViews>
    <sheetView topLeftCell="A10" workbookViewId="0">
      <selection activeCell="I27" sqref="I27:J27"/>
    </sheetView>
  </sheetViews>
  <sheetFormatPr defaultRowHeight="12.75" x14ac:dyDescent="0.2"/>
  <cols>
    <col min="9" max="9" width="13.7109375" customWidth="1"/>
    <col min="10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225</v>
      </c>
      <c r="B2" s="6"/>
      <c r="C2" s="6"/>
      <c r="D2" s="6"/>
      <c r="E2" s="6"/>
      <c r="F2" s="6"/>
      <c r="G2" s="6"/>
      <c r="H2" s="6"/>
      <c r="I2" s="6"/>
      <c r="J2" s="7" t="s">
        <v>185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173"/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1" x14ac:dyDescent="0.2">
      <c r="A6" s="9">
        <v>1</v>
      </c>
      <c r="B6" s="128">
        <v>1431560</v>
      </c>
      <c r="C6" s="128"/>
      <c r="D6" s="128"/>
      <c r="E6" s="128"/>
      <c r="F6" s="12">
        <v>38055</v>
      </c>
      <c r="G6" s="169" t="s">
        <v>226</v>
      </c>
      <c r="H6" s="169"/>
      <c r="I6" s="64">
        <v>246898.75</v>
      </c>
      <c r="J6" s="70">
        <f t="shared" ref="J6:J12" si="0">I6*0.8</f>
        <v>197519</v>
      </c>
      <c r="K6" s="107"/>
    </row>
    <row r="7" spans="1:11" x14ac:dyDescent="0.2">
      <c r="A7" s="9">
        <v>2</v>
      </c>
      <c r="B7" s="128">
        <v>3633527</v>
      </c>
      <c r="C7" s="128"/>
      <c r="D7" s="128">
        <v>3633470</v>
      </c>
      <c r="E7" s="128"/>
      <c r="F7" s="12">
        <v>35226</v>
      </c>
      <c r="G7" s="169" t="s">
        <v>227</v>
      </c>
      <c r="H7" s="169"/>
      <c r="I7" s="64">
        <v>137080</v>
      </c>
      <c r="J7" s="70">
        <f t="shared" si="0"/>
        <v>109664</v>
      </c>
    </row>
    <row r="8" spans="1:11" x14ac:dyDescent="0.2">
      <c r="A8" s="9">
        <v>3</v>
      </c>
      <c r="B8" s="128">
        <v>1435086</v>
      </c>
      <c r="C8" s="128"/>
      <c r="D8" s="128"/>
      <c r="E8" s="128"/>
      <c r="F8" s="12">
        <v>41869</v>
      </c>
      <c r="G8" s="169"/>
      <c r="H8" s="169"/>
      <c r="I8" s="64">
        <v>274328.48</v>
      </c>
      <c r="J8" s="70">
        <f t="shared" si="0"/>
        <v>219462.78399999999</v>
      </c>
    </row>
    <row r="9" spans="1:11" x14ac:dyDescent="0.2">
      <c r="A9" s="9">
        <v>4</v>
      </c>
      <c r="B9" s="128">
        <v>1430556</v>
      </c>
      <c r="C9" s="128"/>
      <c r="D9" s="128"/>
      <c r="E9" s="128"/>
      <c r="F9" s="12">
        <v>42401</v>
      </c>
      <c r="G9" s="169"/>
      <c r="H9" s="169"/>
      <c r="I9" s="64">
        <v>225644.09</v>
      </c>
      <c r="J9" s="70">
        <f t="shared" si="0"/>
        <v>180515.272</v>
      </c>
    </row>
    <row r="10" spans="1:11" x14ac:dyDescent="0.2">
      <c r="A10" s="9">
        <v>5</v>
      </c>
      <c r="B10" s="128">
        <v>1432400</v>
      </c>
      <c r="C10" s="128"/>
      <c r="D10" s="128"/>
      <c r="E10" s="128"/>
      <c r="F10" s="12">
        <v>43132</v>
      </c>
      <c r="G10" s="169"/>
      <c r="H10" s="169"/>
      <c r="I10" s="64">
        <v>147292.5</v>
      </c>
      <c r="J10" s="70">
        <f t="shared" si="0"/>
        <v>117834</v>
      </c>
    </row>
    <row r="11" spans="1:11" x14ac:dyDescent="0.2">
      <c r="A11" s="9">
        <v>6</v>
      </c>
      <c r="B11" s="128">
        <v>1433415</v>
      </c>
      <c r="C11" s="128"/>
      <c r="D11" s="128"/>
      <c r="E11" s="128"/>
      <c r="F11" s="12">
        <v>43698</v>
      </c>
      <c r="G11" s="169"/>
      <c r="H11" s="169"/>
      <c r="I11" s="64">
        <v>104308.71</v>
      </c>
      <c r="J11" s="70">
        <f t="shared" si="0"/>
        <v>83446.968000000008</v>
      </c>
    </row>
    <row r="12" spans="1:11" x14ac:dyDescent="0.2">
      <c r="A12" s="9">
        <v>7</v>
      </c>
      <c r="B12" s="128">
        <v>1434322</v>
      </c>
      <c r="C12" s="128"/>
      <c r="D12" s="128"/>
      <c r="E12" s="128"/>
      <c r="F12" s="12">
        <v>44994</v>
      </c>
      <c r="G12" s="169"/>
      <c r="H12" s="169"/>
      <c r="I12" s="64">
        <v>390318.78</v>
      </c>
      <c r="J12" s="70">
        <f t="shared" si="0"/>
        <v>312255.02400000003</v>
      </c>
    </row>
    <row r="13" spans="1:11" x14ac:dyDescent="0.2">
      <c r="A13" s="9"/>
      <c r="B13" s="128"/>
      <c r="C13" s="128"/>
      <c r="D13" s="128"/>
      <c r="E13" s="128"/>
      <c r="F13" s="12"/>
      <c r="G13" s="169"/>
      <c r="H13" s="169"/>
      <c r="I13" s="64"/>
      <c r="J13" s="70"/>
    </row>
    <row r="14" spans="1:11" ht="13.5" thickBot="1" x14ac:dyDescent="0.25">
      <c r="A14" s="9"/>
      <c r="B14" s="128"/>
      <c r="C14" s="128"/>
      <c r="D14" s="128"/>
      <c r="E14" s="128"/>
      <c r="F14" s="12"/>
      <c r="G14" s="169"/>
      <c r="H14" s="169"/>
      <c r="I14" s="65"/>
      <c r="J14" s="72"/>
    </row>
    <row r="15" spans="1:11" ht="13.5" thickTop="1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66">
        <f>SUM(I6:I14)</f>
        <v>1525871.31</v>
      </c>
      <c r="J15" s="66">
        <f>SUM(J6:J14)</f>
        <v>1220697.048</v>
      </c>
    </row>
    <row r="16" spans="1:1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31" t="s">
        <v>34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x14ac:dyDescent="0.2">
      <c r="A18" s="169" t="s">
        <v>23</v>
      </c>
      <c r="B18" s="169" t="s">
        <v>35</v>
      </c>
      <c r="C18" s="169"/>
      <c r="D18" s="169" t="s">
        <v>36</v>
      </c>
      <c r="E18" s="169" t="s">
        <v>37</v>
      </c>
      <c r="F18" s="169"/>
      <c r="G18" s="169" t="s">
        <v>38</v>
      </c>
      <c r="H18" s="169"/>
      <c r="I18" s="169" t="s">
        <v>39</v>
      </c>
      <c r="J18" s="169"/>
    </row>
    <row r="19" spans="1:10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x14ac:dyDescent="0.2">
      <c r="A20" s="9">
        <v>1</v>
      </c>
      <c r="B20" s="183" t="s">
        <v>228</v>
      </c>
      <c r="C20" s="128"/>
      <c r="D20" s="9">
        <v>11368</v>
      </c>
      <c r="E20" s="182">
        <v>35674</v>
      </c>
      <c r="F20" s="128"/>
      <c r="G20" s="183" t="s">
        <v>229</v>
      </c>
      <c r="H20" s="128"/>
      <c r="I20" s="136">
        <v>86735</v>
      </c>
      <c r="J20" s="136"/>
    </row>
    <row r="21" spans="1:10" x14ac:dyDescent="0.2">
      <c r="A21" s="9">
        <v>2</v>
      </c>
      <c r="B21" s="183" t="s">
        <v>230</v>
      </c>
      <c r="C21" s="128"/>
      <c r="D21" s="9">
        <v>13823</v>
      </c>
      <c r="E21" s="182">
        <v>36342</v>
      </c>
      <c r="F21" s="128"/>
      <c r="G21" s="183" t="s">
        <v>231</v>
      </c>
      <c r="H21" s="128"/>
      <c r="I21" s="136">
        <v>95361</v>
      </c>
      <c r="J21" s="136"/>
    </row>
    <row r="22" spans="1:10" x14ac:dyDescent="0.2">
      <c r="A22" s="9">
        <v>3</v>
      </c>
      <c r="B22" s="183" t="s">
        <v>232</v>
      </c>
      <c r="C22" s="128"/>
      <c r="D22" s="9">
        <v>16392</v>
      </c>
      <c r="E22" s="182">
        <v>36770</v>
      </c>
      <c r="F22" s="128"/>
      <c r="G22" s="128" t="s">
        <v>233</v>
      </c>
      <c r="H22" s="128"/>
      <c r="I22" s="136">
        <f>76142-12491.85</f>
        <v>63650.15</v>
      </c>
      <c r="J22" s="136"/>
    </row>
    <row r="23" spans="1:10" x14ac:dyDescent="0.2">
      <c r="A23" s="19"/>
      <c r="B23" s="137"/>
      <c r="C23" s="137"/>
      <c r="D23" s="19">
        <v>87270</v>
      </c>
      <c r="E23" s="137" t="s">
        <v>864</v>
      </c>
      <c r="F23" s="137"/>
      <c r="G23" s="137"/>
      <c r="H23" s="137"/>
      <c r="I23" s="138">
        <v>2947.8</v>
      </c>
      <c r="J23" s="138"/>
    </row>
    <row r="24" spans="1:10" x14ac:dyDescent="0.2">
      <c r="A24" s="19">
        <v>4</v>
      </c>
      <c r="B24" s="137"/>
      <c r="C24" s="137"/>
      <c r="D24" s="19">
        <v>99228</v>
      </c>
      <c r="E24" s="196">
        <v>44117</v>
      </c>
      <c r="F24" s="137"/>
      <c r="G24" s="137" t="s">
        <v>1131</v>
      </c>
      <c r="H24" s="137"/>
      <c r="I24" s="138">
        <v>128955.16</v>
      </c>
      <c r="J24" s="138"/>
    </row>
    <row r="25" spans="1:10" x14ac:dyDescent="0.2">
      <c r="A25" s="19">
        <v>5</v>
      </c>
      <c r="B25" s="137"/>
      <c r="C25" s="137"/>
      <c r="D25" s="19">
        <v>109966</v>
      </c>
      <c r="E25" s="137"/>
      <c r="F25" s="137"/>
      <c r="G25" s="137" t="s">
        <v>1252</v>
      </c>
      <c r="H25" s="137"/>
      <c r="I25" s="138">
        <v>196120.5</v>
      </c>
      <c r="J25" s="138"/>
    </row>
    <row r="26" spans="1:10" x14ac:dyDescent="0.2">
      <c r="A26" s="58">
        <v>6</v>
      </c>
      <c r="B26" s="151"/>
      <c r="C26" s="151"/>
      <c r="D26" s="58">
        <v>115214</v>
      </c>
      <c r="E26" s="151"/>
      <c r="F26" s="151"/>
      <c r="G26" s="151" t="s">
        <v>1345</v>
      </c>
      <c r="H26" s="151"/>
      <c r="I26" s="152">
        <v>187350</v>
      </c>
      <c r="J26" s="152"/>
    </row>
    <row r="27" spans="1:10" x14ac:dyDescent="0.2">
      <c r="A27" s="123"/>
      <c r="B27" s="256"/>
      <c r="C27" s="256"/>
      <c r="D27" s="123"/>
      <c r="E27" s="256"/>
      <c r="F27" s="256"/>
      <c r="G27" s="256" t="s">
        <v>1637</v>
      </c>
      <c r="H27" s="256"/>
      <c r="I27" s="257">
        <v>92855</v>
      </c>
      <c r="J27" s="257"/>
    </row>
    <row r="28" spans="1:10" x14ac:dyDescent="0.2">
      <c r="A28" s="9"/>
      <c r="B28" s="128"/>
      <c r="C28" s="128"/>
      <c r="D28" s="9"/>
      <c r="E28" s="128"/>
      <c r="F28" s="128"/>
      <c r="G28" s="128"/>
      <c r="H28" s="128"/>
      <c r="I28" s="136"/>
      <c r="J28" s="136"/>
    </row>
    <row r="29" spans="1:10" ht="13.5" thickBot="1" x14ac:dyDescent="0.25">
      <c r="A29" s="9"/>
      <c r="B29" s="128"/>
      <c r="C29" s="128"/>
      <c r="D29" s="9"/>
      <c r="E29" s="128"/>
      <c r="F29" s="128"/>
      <c r="G29" s="128"/>
      <c r="H29" s="128"/>
      <c r="I29" s="226"/>
      <c r="J29" s="226"/>
    </row>
    <row r="30" spans="1:10" ht="13.5" thickTop="1" x14ac:dyDescent="0.2">
      <c r="A30" s="13"/>
      <c r="B30" s="13"/>
      <c r="C30" s="13"/>
      <c r="D30" s="13"/>
      <c r="E30" s="13"/>
      <c r="F30" s="13"/>
      <c r="G30" s="13"/>
      <c r="H30" s="13" t="s">
        <v>33</v>
      </c>
      <c r="I30" s="140">
        <f>SUM(I20:J29)</f>
        <v>853974.61</v>
      </c>
      <c r="J30" s="140"/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15" t="s">
        <v>46</v>
      </c>
      <c r="B32" s="16"/>
      <c r="C32" s="16"/>
      <c r="D32" s="16"/>
      <c r="E32" s="16"/>
      <c r="F32" s="16"/>
      <c r="G32" s="16"/>
      <c r="H32" s="16"/>
      <c r="I32" s="149" t="s">
        <v>47</v>
      </c>
      <c r="J32" s="150"/>
    </row>
    <row r="33" spans="1:10" x14ac:dyDescent="0.2">
      <c r="A33" s="144" t="s">
        <v>48</v>
      </c>
      <c r="B33" s="144"/>
      <c r="C33" s="144"/>
      <c r="D33" s="144"/>
      <c r="E33" s="144"/>
      <c r="F33" s="144"/>
      <c r="G33" s="144"/>
      <c r="H33" s="144"/>
      <c r="I33" s="148">
        <f>I15*80%</f>
        <v>1220697.0480000002</v>
      </c>
      <c r="J33" s="148"/>
    </row>
    <row r="34" spans="1:10" x14ac:dyDescent="0.2">
      <c r="A34" s="144" t="s">
        <v>49</v>
      </c>
      <c r="B34" s="144"/>
      <c r="C34" s="144"/>
      <c r="D34" s="144"/>
      <c r="E34" s="144"/>
      <c r="F34" s="144"/>
      <c r="G34" s="144"/>
      <c r="H34" s="144"/>
      <c r="I34" s="184">
        <v>3740</v>
      </c>
      <c r="J34" s="184"/>
    </row>
    <row r="35" spans="1:10" ht="13.5" thickBot="1" x14ac:dyDescent="0.25">
      <c r="A35" s="144" t="s">
        <v>50</v>
      </c>
      <c r="B35" s="144"/>
      <c r="C35" s="144"/>
      <c r="D35" s="144"/>
      <c r="E35" s="144"/>
      <c r="F35" s="144"/>
      <c r="G35" s="144"/>
      <c r="H35" s="144"/>
      <c r="I35" s="145">
        <f>I30</f>
        <v>853974.61</v>
      </c>
      <c r="J35" s="145"/>
    </row>
    <row r="36" spans="1:10" ht="13.5" thickTop="1" x14ac:dyDescent="0.2">
      <c r="H36" s="18" t="s">
        <v>33</v>
      </c>
      <c r="I36" s="129">
        <f>I33+I34-I35</f>
        <v>370462.4380000002</v>
      </c>
      <c r="J36" s="130"/>
    </row>
    <row r="38" spans="1:10" ht="15" x14ac:dyDescent="0.25">
      <c r="A38" s="131" t="s">
        <v>51</v>
      </c>
      <c r="B38" s="132"/>
      <c r="C38" s="132"/>
      <c r="D38" s="132"/>
      <c r="E38" s="132"/>
      <c r="F38" s="132"/>
      <c r="G38" s="132"/>
      <c r="H38" s="132"/>
      <c r="I38" s="132"/>
      <c r="J38" s="133"/>
    </row>
    <row r="39" spans="1:10" x14ac:dyDescent="0.2">
      <c r="A39" s="139" t="s">
        <v>234</v>
      </c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</sheetData>
  <mergeCells count="93">
    <mergeCell ref="A33:H33"/>
    <mergeCell ref="I33:J33"/>
    <mergeCell ref="I36:J36"/>
    <mergeCell ref="A38:J38"/>
    <mergeCell ref="A39:J44"/>
    <mergeCell ref="A34:H34"/>
    <mergeCell ref="I34:J34"/>
    <mergeCell ref="A35:H35"/>
    <mergeCell ref="I35:J35"/>
    <mergeCell ref="I32:J32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I30:J30"/>
    <mergeCell ref="B24:C24"/>
    <mergeCell ref="E24:F24"/>
    <mergeCell ref="G24:H24"/>
    <mergeCell ref="I24:J24"/>
    <mergeCell ref="B25:C25"/>
    <mergeCell ref="E25:F25"/>
    <mergeCell ref="G25:H25"/>
    <mergeCell ref="I25:J25"/>
    <mergeCell ref="B22:C22"/>
    <mergeCell ref="E22:F22"/>
    <mergeCell ref="G22:H22"/>
    <mergeCell ref="I22:J22"/>
    <mergeCell ref="B23:C23"/>
    <mergeCell ref="E23:F23"/>
    <mergeCell ref="G23:H23"/>
    <mergeCell ref="I23:J23"/>
    <mergeCell ref="B20:C20"/>
    <mergeCell ref="E20:F20"/>
    <mergeCell ref="G20:H20"/>
    <mergeCell ref="I20:J20"/>
    <mergeCell ref="B21:C21"/>
    <mergeCell ref="E21:F21"/>
    <mergeCell ref="G21:H21"/>
    <mergeCell ref="I21:J21"/>
    <mergeCell ref="B14:C14"/>
    <mergeCell ref="D14:E14"/>
    <mergeCell ref="G14:H14"/>
    <mergeCell ref="A17:J17"/>
    <mergeCell ref="A18:A19"/>
    <mergeCell ref="B18:C19"/>
    <mergeCell ref="D18:D19"/>
    <mergeCell ref="E18:F19"/>
    <mergeCell ref="G18:H19"/>
    <mergeCell ref="I18:J19"/>
    <mergeCell ref="B11:C11"/>
    <mergeCell ref="D11:E11"/>
    <mergeCell ref="G11:H11"/>
    <mergeCell ref="B13:C13"/>
    <mergeCell ref="D13:E13"/>
    <mergeCell ref="G13:H13"/>
    <mergeCell ref="B12:C12"/>
    <mergeCell ref="D12:E12"/>
    <mergeCell ref="G12:H12"/>
    <mergeCell ref="B9:C9"/>
    <mergeCell ref="D9:E9"/>
    <mergeCell ref="G9:H9"/>
    <mergeCell ref="B10:C10"/>
    <mergeCell ref="D10:E10"/>
    <mergeCell ref="G10:H10"/>
    <mergeCell ref="D6:E6"/>
    <mergeCell ref="G6:H6"/>
    <mergeCell ref="B8:C8"/>
    <mergeCell ref="D8:E8"/>
    <mergeCell ref="G8:H8"/>
    <mergeCell ref="I26:J26"/>
    <mergeCell ref="A3:J3"/>
    <mergeCell ref="A4:A5"/>
    <mergeCell ref="B4:E4"/>
    <mergeCell ref="F4:F5"/>
    <mergeCell ref="G4:H5"/>
    <mergeCell ref="I4:J5"/>
    <mergeCell ref="B7:C7"/>
    <mergeCell ref="D7:E7"/>
    <mergeCell ref="G7:H7"/>
    <mergeCell ref="B26:C26"/>
    <mergeCell ref="E26:F26"/>
    <mergeCell ref="G26:H26"/>
    <mergeCell ref="B5:C5"/>
    <mergeCell ref="D5:E5"/>
    <mergeCell ref="B6:C6"/>
  </mergeCells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3"/>
  <sheetViews>
    <sheetView topLeftCell="A16" workbookViewId="0">
      <selection activeCell="G21" sqref="G21:H21"/>
    </sheetView>
  </sheetViews>
  <sheetFormatPr defaultRowHeight="12.75" x14ac:dyDescent="0.2"/>
  <cols>
    <col min="6" max="6" width="11.85546875" customWidth="1"/>
    <col min="9" max="9" width="12.7109375" bestFit="1" customWidth="1"/>
    <col min="10" max="10" width="14.7109375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970</v>
      </c>
      <c r="B2" s="6"/>
      <c r="C2" s="6"/>
      <c r="D2" s="6"/>
      <c r="E2" s="6"/>
      <c r="F2" s="6"/>
      <c r="G2" s="6"/>
      <c r="H2" s="6"/>
      <c r="I2" s="6"/>
      <c r="J2" s="59" t="s">
        <v>715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61" t="s">
        <v>821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69"/>
    </row>
    <row r="6" spans="1:10" x14ac:dyDescent="0.2">
      <c r="A6" s="9">
        <v>1</v>
      </c>
      <c r="B6" s="128">
        <v>1532715</v>
      </c>
      <c r="C6" s="128"/>
      <c r="D6" s="128">
        <v>1532723</v>
      </c>
      <c r="E6" s="128"/>
      <c r="F6" s="12">
        <v>43132</v>
      </c>
      <c r="G6" s="169"/>
      <c r="H6" s="169"/>
      <c r="I6" s="69">
        <v>348681.11</v>
      </c>
      <c r="J6" s="64">
        <f>I6*0.8</f>
        <v>278944.88799999998</v>
      </c>
    </row>
    <row r="7" spans="1:10" x14ac:dyDescent="0.2">
      <c r="A7" s="9">
        <v>2</v>
      </c>
      <c r="B7" s="128">
        <v>1536036</v>
      </c>
      <c r="C7" s="128"/>
      <c r="D7" s="128">
        <v>1031060</v>
      </c>
      <c r="E7" s="128"/>
      <c r="F7" s="12">
        <v>43132</v>
      </c>
      <c r="G7" s="169"/>
      <c r="H7" s="169"/>
      <c r="I7" s="69">
        <v>215229.5</v>
      </c>
      <c r="J7" s="64">
        <f>I7*0.8</f>
        <v>172183.6</v>
      </c>
    </row>
    <row r="8" spans="1:10" x14ac:dyDescent="0.2">
      <c r="A8" s="9">
        <v>3</v>
      </c>
      <c r="B8" s="128">
        <v>1539868</v>
      </c>
      <c r="C8" s="128"/>
      <c r="D8" s="128">
        <v>1539884</v>
      </c>
      <c r="E8" s="128"/>
      <c r="F8" s="12">
        <v>43446</v>
      </c>
      <c r="G8" s="169"/>
      <c r="H8" s="169"/>
      <c r="I8" s="69">
        <v>492766.81</v>
      </c>
      <c r="J8" s="64">
        <f>I8*0.8</f>
        <v>394213.44800000003</v>
      </c>
    </row>
    <row r="9" spans="1:10" x14ac:dyDescent="0.2">
      <c r="A9" s="9">
        <v>4</v>
      </c>
      <c r="B9" s="128">
        <v>1537024</v>
      </c>
      <c r="C9" s="128"/>
      <c r="D9" s="128">
        <v>1537032</v>
      </c>
      <c r="E9" s="128"/>
      <c r="F9" s="12">
        <v>43858</v>
      </c>
      <c r="G9" s="169"/>
      <c r="H9" s="169"/>
      <c r="I9" s="69">
        <v>498283.01</v>
      </c>
      <c r="J9" s="64">
        <f>I9*0.8</f>
        <v>398626.40800000005</v>
      </c>
    </row>
    <row r="10" spans="1:10" x14ac:dyDescent="0.2">
      <c r="A10" s="9">
        <v>5</v>
      </c>
      <c r="B10" s="128">
        <v>1539876</v>
      </c>
      <c r="C10" s="128"/>
      <c r="D10" s="128">
        <v>1539877</v>
      </c>
      <c r="E10" s="128"/>
      <c r="F10" s="12">
        <v>44966</v>
      </c>
      <c r="G10" s="169"/>
      <c r="H10" s="169"/>
      <c r="I10" s="69">
        <v>548412.46</v>
      </c>
      <c r="J10" s="64">
        <f>I10*0.8</f>
        <v>438729.96799999999</v>
      </c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69"/>
      <c r="J11" s="64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69"/>
      <c r="J12" s="64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71"/>
      <c r="J13" s="89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81">
        <f>SUM(I6:I13)</f>
        <v>2103372.8899999997</v>
      </c>
      <c r="J14" s="90">
        <f>SUM(J6:J13)</f>
        <v>1682698.3119999999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9">
        <v>1</v>
      </c>
      <c r="B19" s="225"/>
      <c r="C19" s="137"/>
      <c r="D19" s="19">
        <v>24452</v>
      </c>
      <c r="E19" s="196" t="s">
        <v>971</v>
      </c>
      <c r="F19" s="137"/>
      <c r="G19" s="225"/>
      <c r="H19" s="137"/>
      <c r="I19" s="138">
        <v>341782.23</v>
      </c>
      <c r="J19" s="138"/>
    </row>
    <row r="20" spans="1:10" x14ac:dyDescent="0.2">
      <c r="A20" s="9">
        <v>2</v>
      </c>
      <c r="B20" s="183"/>
      <c r="C20" s="128"/>
      <c r="D20" s="9">
        <v>109415</v>
      </c>
      <c r="E20" s="182" t="s">
        <v>1266</v>
      </c>
      <c r="F20" s="128"/>
      <c r="G20" s="183"/>
      <c r="H20" s="128"/>
      <c r="I20" s="136">
        <v>240346.26</v>
      </c>
      <c r="J20" s="136"/>
    </row>
    <row r="21" spans="1:10" x14ac:dyDescent="0.2">
      <c r="A21" s="58"/>
      <c r="B21" s="259"/>
      <c r="C21" s="151"/>
      <c r="D21" s="58">
        <v>116198</v>
      </c>
      <c r="E21" s="260" t="s">
        <v>1481</v>
      </c>
      <c r="F21" s="151"/>
      <c r="G21" s="151"/>
      <c r="H21" s="151"/>
      <c r="I21" s="152">
        <v>108150</v>
      </c>
      <c r="J21" s="152"/>
    </row>
    <row r="22" spans="1:10" x14ac:dyDescent="0.2">
      <c r="A22" s="19"/>
      <c r="B22" s="137"/>
      <c r="C22" s="137"/>
      <c r="D22" s="19"/>
      <c r="E22" s="137"/>
      <c r="F22" s="137"/>
      <c r="G22" s="137"/>
      <c r="H22" s="137"/>
      <c r="I22" s="138"/>
      <c r="J22" s="138"/>
    </row>
    <row r="23" spans="1:10" x14ac:dyDescent="0.2">
      <c r="A23" s="9"/>
      <c r="B23" s="128"/>
      <c r="C23" s="128"/>
      <c r="D23" s="9"/>
      <c r="E23" s="128"/>
      <c r="F23" s="128"/>
      <c r="G23" s="128"/>
      <c r="H23" s="128"/>
      <c r="I23" s="136"/>
      <c r="J23" s="136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136"/>
      <c r="J24" s="136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690278.49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1682698.3119999999</v>
      </c>
      <c r="J31" s="148"/>
    </row>
    <row r="32" spans="1:10" x14ac:dyDescent="0.2">
      <c r="A32" s="258" t="s">
        <v>969</v>
      </c>
      <c r="B32" s="144"/>
      <c r="C32" s="144"/>
      <c r="D32" s="144"/>
      <c r="E32" s="144"/>
      <c r="F32" s="144"/>
      <c r="G32" s="144"/>
      <c r="H32" s="144"/>
      <c r="I32" s="184">
        <v>169986</v>
      </c>
      <c r="J32" s="184"/>
    </row>
    <row r="33" spans="1:10" x14ac:dyDescent="0.2">
      <c r="A33" s="258" t="s">
        <v>1381</v>
      </c>
      <c r="B33" s="144"/>
      <c r="C33" s="144"/>
      <c r="D33" s="144"/>
      <c r="E33" s="144"/>
      <c r="F33" s="144"/>
      <c r="G33" s="144"/>
      <c r="H33" s="144"/>
      <c r="I33" s="184">
        <v>-500000</v>
      </c>
      <c r="J33" s="184"/>
    </row>
    <row r="34" spans="1:10" ht="13.5" thickBot="1" x14ac:dyDescent="0.25">
      <c r="A34" s="144" t="s">
        <v>50</v>
      </c>
      <c r="B34" s="144"/>
      <c r="C34" s="144"/>
      <c r="D34" s="144"/>
      <c r="E34" s="144"/>
      <c r="F34" s="144"/>
      <c r="G34" s="144"/>
      <c r="H34" s="144"/>
      <c r="I34" s="145">
        <f>I28</f>
        <v>690278.49</v>
      </c>
      <c r="J34" s="145"/>
    </row>
    <row r="35" spans="1:10" ht="13.5" thickTop="1" x14ac:dyDescent="0.2">
      <c r="H35" s="18" t="s">
        <v>33</v>
      </c>
      <c r="I35" s="129">
        <f>I31+I32+I33-I34</f>
        <v>662405.82199999993</v>
      </c>
      <c r="J35" s="130"/>
    </row>
    <row r="37" spans="1:10" ht="15" x14ac:dyDescent="0.25">
      <c r="A37" s="131" t="s">
        <v>51</v>
      </c>
      <c r="B37" s="132"/>
      <c r="C37" s="132"/>
      <c r="D37" s="132"/>
      <c r="E37" s="132"/>
      <c r="F37" s="132"/>
      <c r="G37" s="132"/>
      <c r="H37" s="132"/>
      <c r="I37" s="132"/>
      <c r="J37" s="133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</sheetData>
  <mergeCells count="89"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A16:J16"/>
    <mergeCell ref="A17:A18"/>
    <mergeCell ref="B17:C18"/>
    <mergeCell ref="D17:D18"/>
    <mergeCell ref="E17:F18"/>
    <mergeCell ref="G17:H18"/>
    <mergeCell ref="I17:J18"/>
    <mergeCell ref="B19:C19"/>
    <mergeCell ref="E19:F19"/>
    <mergeCell ref="G19:H19"/>
    <mergeCell ref="I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I28:J28"/>
    <mergeCell ref="I30:J30"/>
    <mergeCell ref="I35:J35"/>
    <mergeCell ref="A37:J37"/>
    <mergeCell ref="A38:J43"/>
    <mergeCell ref="A31:H31"/>
    <mergeCell ref="I31:J31"/>
    <mergeCell ref="A32:H32"/>
    <mergeCell ref="I32:J32"/>
    <mergeCell ref="A34:H34"/>
    <mergeCell ref="I34:J34"/>
    <mergeCell ref="A33:H33"/>
    <mergeCell ref="I33:J33"/>
  </mergeCells>
  <pageMargins left="0.7" right="0.7" top="0.75" bottom="0.75" header="0.3" footer="0.3"/>
  <pageSetup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J45"/>
  <sheetViews>
    <sheetView topLeftCell="A10" workbookViewId="0">
      <selection activeCell="A34" sqref="A34:H34"/>
    </sheetView>
  </sheetViews>
  <sheetFormatPr defaultRowHeight="12.75" x14ac:dyDescent="0.2"/>
  <cols>
    <col min="6" max="6" width="16.4257812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235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62" t="s">
        <v>834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233"/>
    </row>
    <row r="6" spans="1:10" x14ac:dyDescent="0.2">
      <c r="A6" s="9">
        <v>1</v>
      </c>
      <c r="B6" s="128">
        <v>1630164</v>
      </c>
      <c r="C6" s="128"/>
      <c r="D6" s="128">
        <v>1630164</v>
      </c>
      <c r="E6" s="128"/>
      <c r="F6" s="12">
        <v>34779</v>
      </c>
      <c r="G6" s="169" t="s">
        <v>237</v>
      </c>
      <c r="H6" s="169"/>
      <c r="I6" s="73">
        <v>158933.07999999999</v>
      </c>
      <c r="J6" s="64">
        <f>I6*0.8</f>
        <v>127146.46399999999</v>
      </c>
    </row>
    <row r="7" spans="1:10" x14ac:dyDescent="0.2">
      <c r="A7" s="9">
        <v>2</v>
      </c>
      <c r="B7" s="128">
        <v>1630776</v>
      </c>
      <c r="C7" s="128"/>
      <c r="D7" s="128">
        <v>1630776</v>
      </c>
      <c r="E7" s="128"/>
      <c r="F7" s="12">
        <v>34779</v>
      </c>
      <c r="G7" s="169" t="s">
        <v>238</v>
      </c>
      <c r="H7" s="169"/>
      <c r="I7" s="73">
        <v>203266.73</v>
      </c>
      <c r="J7" s="64">
        <f>I7*0.8</f>
        <v>162613.38400000002</v>
      </c>
    </row>
    <row r="8" spans="1:10" x14ac:dyDescent="0.2">
      <c r="A8" s="9">
        <v>3</v>
      </c>
      <c r="B8" s="128">
        <v>1631330</v>
      </c>
      <c r="C8" s="128"/>
      <c r="D8" s="128">
        <v>1631330</v>
      </c>
      <c r="E8" s="128"/>
      <c r="F8" s="12">
        <v>34989</v>
      </c>
      <c r="G8" s="169" t="s">
        <v>239</v>
      </c>
      <c r="H8" s="169"/>
      <c r="I8" s="73">
        <v>106592</v>
      </c>
      <c r="J8" s="64">
        <f>I8*0.8</f>
        <v>85273.600000000006</v>
      </c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73"/>
      <c r="J9" s="64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73"/>
      <c r="J10" s="64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73"/>
      <c r="J11" s="64"/>
    </row>
    <row r="12" spans="1:10" ht="13.5" thickBot="1" x14ac:dyDescent="0.25">
      <c r="A12" s="9"/>
      <c r="B12" s="128"/>
      <c r="C12" s="128"/>
      <c r="D12" s="128"/>
      <c r="E12" s="128"/>
      <c r="F12" s="12"/>
      <c r="G12" s="169"/>
      <c r="H12" s="169"/>
      <c r="I12" s="74"/>
      <c r="J12" s="65"/>
    </row>
    <row r="13" spans="1:10" ht="13.5" thickTop="1" x14ac:dyDescent="0.2">
      <c r="A13" s="13"/>
      <c r="B13" s="13"/>
      <c r="C13" s="13"/>
      <c r="D13" s="13"/>
      <c r="E13" s="13"/>
      <c r="F13" s="13"/>
      <c r="G13" s="13"/>
      <c r="H13" s="13" t="s">
        <v>33</v>
      </c>
      <c r="I13" s="80">
        <f>SUM(I6:I12)</f>
        <v>468791.81</v>
      </c>
      <c r="J13" s="66">
        <f>SUM(J6:J12)</f>
        <v>375033.44799999997</v>
      </c>
    </row>
    <row r="14" spans="1:10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 x14ac:dyDescent="0.25">
      <c r="A15" s="131" t="s">
        <v>34</v>
      </c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x14ac:dyDescent="0.2">
      <c r="A16" s="169" t="s">
        <v>23</v>
      </c>
      <c r="B16" s="169" t="s">
        <v>35</v>
      </c>
      <c r="C16" s="169"/>
      <c r="D16" s="169" t="s">
        <v>36</v>
      </c>
      <c r="E16" s="169" t="s">
        <v>37</v>
      </c>
      <c r="F16" s="169"/>
      <c r="G16" s="169" t="s">
        <v>38</v>
      </c>
      <c r="H16" s="169"/>
      <c r="I16" s="169" t="s">
        <v>39</v>
      </c>
      <c r="J16" s="169"/>
    </row>
    <row r="17" spans="1:10" x14ac:dyDescent="0.2">
      <c r="A17" s="169"/>
      <c r="B17" s="169"/>
      <c r="C17" s="169"/>
      <c r="D17" s="169"/>
      <c r="E17" s="169"/>
      <c r="F17" s="169"/>
      <c r="G17" s="169"/>
      <c r="H17" s="169"/>
      <c r="I17" s="169"/>
      <c r="J17" s="169"/>
    </row>
    <row r="18" spans="1:10" x14ac:dyDescent="0.2">
      <c r="A18" s="9">
        <v>1</v>
      </c>
      <c r="B18" s="183" t="s">
        <v>240</v>
      </c>
      <c r="C18" s="128"/>
      <c r="D18" s="10">
        <v>5847</v>
      </c>
      <c r="E18" s="182">
        <v>36008</v>
      </c>
      <c r="F18" s="128"/>
      <c r="G18" s="128">
        <v>1604002</v>
      </c>
      <c r="H18" s="128"/>
      <c r="I18" s="136">
        <v>95824.15</v>
      </c>
      <c r="J18" s="136"/>
    </row>
    <row r="19" spans="1:10" x14ac:dyDescent="0.2">
      <c r="A19" s="9">
        <v>2</v>
      </c>
      <c r="B19" s="183" t="s">
        <v>241</v>
      </c>
      <c r="C19" s="128"/>
      <c r="D19" s="9">
        <v>15556</v>
      </c>
      <c r="E19" s="182">
        <v>36373</v>
      </c>
      <c r="F19" s="128"/>
      <c r="G19" s="183" t="s">
        <v>242</v>
      </c>
      <c r="H19" s="128"/>
      <c r="I19" s="136">
        <v>137776.12</v>
      </c>
      <c r="J19" s="136"/>
    </row>
    <row r="20" spans="1:10" x14ac:dyDescent="0.2">
      <c r="A20" s="9">
        <v>3</v>
      </c>
      <c r="B20" s="183" t="s">
        <v>243</v>
      </c>
      <c r="C20" s="128"/>
      <c r="D20" s="9">
        <v>13432</v>
      </c>
      <c r="E20" s="182">
        <v>36465</v>
      </c>
      <c r="F20" s="128"/>
      <c r="G20" s="183" t="s">
        <v>244</v>
      </c>
      <c r="H20" s="128"/>
      <c r="I20" s="136">
        <v>90559.69</v>
      </c>
      <c r="J20" s="136"/>
    </row>
    <row r="21" spans="1:10" x14ac:dyDescent="0.2">
      <c r="A21" s="9">
        <v>4</v>
      </c>
      <c r="B21" s="183" t="s">
        <v>245</v>
      </c>
      <c r="C21" s="128"/>
      <c r="D21" s="9">
        <v>16120</v>
      </c>
      <c r="E21" s="182">
        <v>38072</v>
      </c>
      <c r="F21" s="128"/>
      <c r="G21" s="128" t="s">
        <v>246</v>
      </c>
      <c r="H21" s="128"/>
      <c r="I21" s="136">
        <v>222745.43</v>
      </c>
      <c r="J21" s="136"/>
    </row>
    <row r="22" spans="1:10" x14ac:dyDescent="0.2">
      <c r="A22" s="19">
        <v>5</v>
      </c>
      <c r="B22" s="137"/>
      <c r="C22" s="137"/>
      <c r="D22" s="19">
        <v>94451</v>
      </c>
      <c r="E22" s="196">
        <v>43490</v>
      </c>
      <c r="F22" s="137"/>
      <c r="G22" s="137" t="s">
        <v>1219</v>
      </c>
      <c r="H22" s="137"/>
      <c r="I22" s="138">
        <v>63528.53</v>
      </c>
      <c r="J22" s="138"/>
    </row>
    <row r="23" spans="1:10" x14ac:dyDescent="0.2">
      <c r="A23" s="19">
        <v>6</v>
      </c>
      <c r="B23" s="137"/>
      <c r="C23" s="137"/>
      <c r="D23" s="19">
        <v>101724</v>
      </c>
      <c r="E23" s="137"/>
      <c r="F23" s="137"/>
      <c r="G23" s="137" t="s">
        <v>1220</v>
      </c>
      <c r="H23" s="137"/>
      <c r="I23" s="138">
        <v>49246.5</v>
      </c>
      <c r="J23" s="138"/>
    </row>
    <row r="24" spans="1:10" x14ac:dyDescent="0.2">
      <c r="A24" s="58">
        <v>7</v>
      </c>
      <c r="B24" s="151"/>
      <c r="C24" s="151"/>
      <c r="D24" s="58">
        <v>108777</v>
      </c>
      <c r="E24" s="151"/>
      <c r="F24" s="151"/>
      <c r="G24" s="151" t="s">
        <v>1445</v>
      </c>
      <c r="H24" s="151"/>
      <c r="I24" s="152">
        <v>363770</v>
      </c>
      <c r="J24" s="152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ht="13.5" thickBot="1" x14ac:dyDescent="0.25">
      <c r="A26" s="9"/>
      <c r="B26" s="128"/>
      <c r="C26" s="128"/>
      <c r="D26" s="9"/>
      <c r="E26" s="128"/>
      <c r="F26" s="128"/>
      <c r="G26" s="128"/>
      <c r="H26" s="128"/>
      <c r="I26" s="226"/>
      <c r="J26" s="22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0">
        <f>SUM(I18:J26)</f>
        <v>1023450.4199999999</v>
      </c>
      <c r="J27" s="140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49" t="s">
        <v>47</v>
      </c>
      <c r="J29" s="150"/>
    </row>
    <row r="30" spans="1:10" x14ac:dyDescent="0.2">
      <c r="A30" s="144" t="s">
        <v>48</v>
      </c>
      <c r="B30" s="144"/>
      <c r="C30" s="144"/>
      <c r="D30" s="144"/>
      <c r="E30" s="144"/>
      <c r="F30" s="144"/>
      <c r="G30" s="144"/>
      <c r="H30" s="144"/>
      <c r="I30" s="263">
        <f>I13*80%</f>
        <v>375033.44800000003</v>
      </c>
      <c r="J30" s="263"/>
    </row>
    <row r="31" spans="1:10" x14ac:dyDescent="0.2">
      <c r="A31" s="144" t="s">
        <v>49</v>
      </c>
      <c r="B31" s="144"/>
      <c r="C31" s="144"/>
      <c r="D31" s="144"/>
      <c r="E31" s="144"/>
      <c r="F31" s="144"/>
      <c r="G31" s="144"/>
      <c r="H31" s="185"/>
      <c r="I31" s="184">
        <f>400000+105278-320348</f>
        <v>184930</v>
      </c>
      <c r="J31" s="184"/>
    </row>
    <row r="32" spans="1:10" x14ac:dyDescent="0.2">
      <c r="A32" s="258" t="s">
        <v>1218</v>
      </c>
      <c r="B32" s="144"/>
      <c r="C32" s="144"/>
      <c r="D32" s="144"/>
      <c r="E32" s="144"/>
      <c r="F32" s="144"/>
      <c r="G32" s="144"/>
      <c r="H32" s="185"/>
      <c r="I32" s="184">
        <v>112500</v>
      </c>
      <c r="J32" s="184"/>
    </row>
    <row r="33" spans="1:10" x14ac:dyDescent="0.2">
      <c r="A33" s="231" t="s">
        <v>1353</v>
      </c>
      <c r="B33" s="144"/>
      <c r="C33" s="144"/>
      <c r="D33" s="144"/>
      <c r="E33" s="144"/>
      <c r="F33" s="144"/>
      <c r="G33" s="144"/>
      <c r="H33" s="185"/>
      <c r="I33" s="184">
        <v>274.58</v>
      </c>
      <c r="J33" s="184"/>
    </row>
    <row r="34" spans="1:10" x14ac:dyDescent="0.2">
      <c r="A34" s="231" t="s">
        <v>1444</v>
      </c>
      <c r="B34" s="144"/>
      <c r="C34" s="144"/>
      <c r="D34" s="144"/>
      <c r="E34" s="144"/>
      <c r="F34" s="144"/>
      <c r="G34" s="144"/>
      <c r="H34" s="185"/>
      <c r="I34" s="184">
        <v>200000</v>
      </c>
      <c r="J34" s="184"/>
    </row>
    <row r="35" spans="1:10" x14ac:dyDescent="0.2">
      <c r="A35" s="144" t="s">
        <v>1509</v>
      </c>
      <c r="B35" s="144"/>
      <c r="C35" s="144"/>
      <c r="D35" s="144"/>
      <c r="E35" s="144"/>
      <c r="F35" s="144"/>
      <c r="G35" s="144"/>
      <c r="H35" s="185"/>
      <c r="I35" s="184">
        <v>200000</v>
      </c>
      <c r="J35" s="184"/>
    </row>
    <row r="36" spans="1:10" ht="13.5" thickBot="1" x14ac:dyDescent="0.25">
      <c r="A36" s="144" t="s">
        <v>50</v>
      </c>
      <c r="B36" s="144"/>
      <c r="C36" s="144"/>
      <c r="D36" s="144"/>
      <c r="E36" s="144"/>
      <c r="F36" s="144"/>
      <c r="G36" s="144"/>
      <c r="H36" s="185"/>
      <c r="I36" s="264">
        <f>I27</f>
        <v>1023450.4199999999</v>
      </c>
      <c r="J36" s="264"/>
    </row>
    <row r="37" spans="1:10" ht="13.5" thickTop="1" x14ac:dyDescent="0.2">
      <c r="H37" s="18" t="s">
        <v>33</v>
      </c>
      <c r="I37" s="129">
        <f>I30+I31+I32+I33+I34+I35-I36</f>
        <v>49287.608000000007</v>
      </c>
      <c r="J37" s="130"/>
    </row>
    <row r="39" spans="1:10" ht="15" x14ac:dyDescent="0.25">
      <c r="A39" s="131" t="s">
        <v>51</v>
      </c>
      <c r="B39" s="132"/>
      <c r="C39" s="132"/>
      <c r="D39" s="132"/>
      <c r="E39" s="132"/>
      <c r="F39" s="132"/>
      <c r="G39" s="132"/>
      <c r="H39" s="132"/>
      <c r="I39" s="132"/>
      <c r="J39" s="133"/>
    </row>
    <row r="40" spans="1:10" x14ac:dyDescent="0.2">
      <c r="A40" s="139" t="s">
        <v>247</v>
      </c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</sheetData>
  <mergeCells count="92">
    <mergeCell ref="I30:J30"/>
    <mergeCell ref="I37:J37"/>
    <mergeCell ref="A39:J39"/>
    <mergeCell ref="A40:J45"/>
    <mergeCell ref="A31:H31"/>
    <mergeCell ref="I31:J31"/>
    <mergeCell ref="A36:H36"/>
    <mergeCell ref="I36:J36"/>
    <mergeCell ref="A32:H32"/>
    <mergeCell ref="I32:J32"/>
    <mergeCell ref="A33:H33"/>
    <mergeCell ref="A34:H34"/>
    <mergeCell ref="I34:J34"/>
    <mergeCell ref="I33:J33"/>
    <mergeCell ref="A35:H35"/>
    <mergeCell ref="I35:J35"/>
    <mergeCell ref="E24:F24"/>
    <mergeCell ref="G24:H24"/>
    <mergeCell ref="I24:J24"/>
    <mergeCell ref="B25:C25"/>
    <mergeCell ref="E25:F25"/>
    <mergeCell ref="G25:H25"/>
    <mergeCell ref="I25:J25"/>
    <mergeCell ref="I29:J29"/>
    <mergeCell ref="A30:H30"/>
    <mergeCell ref="B22:C22"/>
    <mergeCell ref="E22:F22"/>
    <mergeCell ref="G22:H22"/>
    <mergeCell ref="I22:J22"/>
    <mergeCell ref="B23:C23"/>
    <mergeCell ref="E23:F23"/>
    <mergeCell ref="G23:H23"/>
    <mergeCell ref="I23:J23"/>
    <mergeCell ref="B26:C26"/>
    <mergeCell ref="E26:F26"/>
    <mergeCell ref="G26:H26"/>
    <mergeCell ref="I26:J26"/>
    <mergeCell ref="I27:J27"/>
    <mergeCell ref="B24:C24"/>
    <mergeCell ref="B20:C20"/>
    <mergeCell ref="E20:F20"/>
    <mergeCell ref="G20:H20"/>
    <mergeCell ref="I20:J20"/>
    <mergeCell ref="B21:C21"/>
    <mergeCell ref="E21:F21"/>
    <mergeCell ref="G21:H21"/>
    <mergeCell ref="I21:J21"/>
    <mergeCell ref="B18:C18"/>
    <mergeCell ref="E18:F18"/>
    <mergeCell ref="G18:H18"/>
    <mergeCell ref="I18:J18"/>
    <mergeCell ref="B19:C19"/>
    <mergeCell ref="E19:F19"/>
    <mergeCell ref="G19:H19"/>
    <mergeCell ref="I19:J19"/>
    <mergeCell ref="I16:J17"/>
    <mergeCell ref="B12:C12"/>
    <mergeCell ref="D12:E12"/>
    <mergeCell ref="G12:H12"/>
    <mergeCell ref="A15:J15"/>
    <mergeCell ref="A16:A17"/>
    <mergeCell ref="B16:C17"/>
    <mergeCell ref="D16:D17"/>
    <mergeCell ref="E16:F17"/>
    <mergeCell ref="G16:H17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scale="8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J73"/>
  <sheetViews>
    <sheetView topLeftCell="A43" workbookViewId="0">
      <selection activeCell="I54" sqref="I54:J54"/>
    </sheetView>
  </sheetViews>
  <sheetFormatPr defaultRowHeight="12.75" x14ac:dyDescent="0.2"/>
  <cols>
    <col min="6" max="6" width="14.28515625" customWidth="1"/>
    <col min="9" max="9" width="12.71093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248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1737929</v>
      </c>
      <c r="C6" s="128"/>
      <c r="D6" s="128">
        <v>1737929</v>
      </c>
      <c r="E6" s="128"/>
      <c r="F6" s="12">
        <v>32643</v>
      </c>
      <c r="G6" s="169" t="s">
        <v>249</v>
      </c>
      <c r="H6" s="169"/>
      <c r="I6" s="32">
        <v>66101.94</v>
      </c>
      <c r="J6" s="32">
        <f>I6*0.8</f>
        <v>52881.552000000003</v>
      </c>
    </row>
    <row r="7" spans="1:10" x14ac:dyDescent="0.2">
      <c r="A7" s="9">
        <v>2</v>
      </c>
      <c r="B7" s="128">
        <v>1746952</v>
      </c>
      <c r="C7" s="128"/>
      <c r="D7" s="128">
        <v>1746952</v>
      </c>
      <c r="E7" s="128"/>
      <c r="F7" s="12">
        <v>32643</v>
      </c>
      <c r="G7" s="169" t="s">
        <v>250</v>
      </c>
      <c r="H7" s="169"/>
      <c r="I7" s="32">
        <v>88322.08</v>
      </c>
      <c r="J7" s="32">
        <f t="shared" ref="J7:J24" si="0">I7*0.8</f>
        <v>70657.664000000004</v>
      </c>
    </row>
    <row r="8" spans="1:10" x14ac:dyDescent="0.2">
      <c r="A8" s="9">
        <v>3</v>
      </c>
      <c r="B8" s="128">
        <v>1733915</v>
      </c>
      <c r="C8" s="128"/>
      <c r="D8" s="128">
        <v>1733915</v>
      </c>
      <c r="E8" s="128"/>
      <c r="F8" s="12">
        <v>32911</v>
      </c>
      <c r="G8" s="169" t="s">
        <v>251</v>
      </c>
      <c r="H8" s="169"/>
      <c r="I8" s="32">
        <v>54201.29</v>
      </c>
      <c r="J8" s="32">
        <f t="shared" si="0"/>
        <v>43361.032000000007</v>
      </c>
    </row>
    <row r="9" spans="1:10" x14ac:dyDescent="0.2">
      <c r="A9" s="9">
        <v>4</v>
      </c>
      <c r="B9" s="128">
        <v>1740229</v>
      </c>
      <c r="C9" s="128"/>
      <c r="D9" s="128">
        <v>1740237</v>
      </c>
      <c r="E9" s="128"/>
      <c r="F9" s="12">
        <v>32911</v>
      </c>
      <c r="G9" s="169" t="s">
        <v>252</v>
      </c>
      <c r="H9" s="169"/>
      <c r="I9" s="32">
        <v>129029.27</v>
      </c>
      <c r="J9" s="32">
        <f t="shared" si="0"/>
        <v>103223.41600000001</v>
      </c>
    </row>
    <row r="10" spans="1:10" x14ac:dyDescent="0.2">
      <c r="A10" s="9">
        <v>5</v>
      </c>
      <c r="B10" s="128">
        <v>1733869</v>
      </c>
      <c r="C10" s="128"/>
      <c r="D10" s="128">
        <v>1733869</v>
      </c>
      <c r="E10" s="128"/>
      <c r="F10" s="12">
        <v>32911</v>
      </c>
      <c r="G10" s="169" t="s">
        <v>253</v>
      </c>
      <c r="H10" s="169"/>
      <c r="I10" s="32">
        <v>66122.649999999994</v>
      </c>
      <c r="J10" s="32">
        <f t="shared" si="0"/>
        <v>52898.119999999995</v>
      </c>
    </row>
    <row r="11" spans="1:10" x14ac:dyDescent="0.2">
      <c r="A11" s="9">
        <v>6</v>
      </c>
      <c r="B11" s="128">
        <v>1739697</v>
      </c>
      <c r="C11" s="128"/>
      <c r="D11" s="128">
        <v>1739700</v>
      </c>
      <c r="E11" s="128"/>
      <c r="F11" s="12">
        <v>33260</v>
      </c>
      <c r="G11" s="169" t="s">
        <v>254</v>
      </c>
      <c r="H11" s="169"/>
      <c r="I11" s="32">
        <v>190852.03</v>
      </c>
      <c r="J11" s="32">
        <f t="shared" si="0"/>
        <v>152681.62400000001</v>
      </c>
    </row>
    <row r="12" spans="1:10" x14ac:dyDescent="0.2">
      <c r="A12" s="9">
        <v>7</v>
      </c>
      <c r="B12" s="128">
        <v>1739034</v>
      </c>
      <c r="C12" s="128"/>
      <c r="D12" s="128">
        <v>1739042</v>
      </c>
      <c r="E12" s="128"/>
      <c r="F12" s="12">
        <v>33260</v>
      </c>
      <c r="G12" s="169" t="s">
        <v>255</v>
      </c>
      <c r="H12" s="169"/>
      <c r="I12" s="32">
        <v>89689.21</v>
      </c>
      <c r="J12" s="32">
        <f t="shared" si="0"/>
        <v>71751.368000000002</v>
      </c>
    </row>
    <row r="13" spans="1:10" x14ac:dyDescent="0.2">
      <c r="A13" s="9">
        <v>8</v>
      </c>
      <c r="B13" s="128">
        <v>1735349</v>
      </c>
      <c r="C13" s="128"/>
      <c r="D13" s="128">
        <v>1735357</v>
      </c>
      <c r="E13" s="128"/>
      <c r="F13" s="12">
        <v>34092</v>
      </c>
      <c r="G13" s="169" t="s">
        <v>256</v>
      </c>
      <c r="H13" s="169"/>
      <c r="I13" s="32">
        <v>78877.8</v>
      </c>
      <c r="J13" s="32">
        <f t="shared" si="0"/>
        <v>63102.240000000005</v>
      </c>
    </row>
    <row r="14" spans="1:10" x14ac:dyDescent="0.2">
      <c r="A14" s="9">
        <v>9</v>
      </c>
      <c r="B14" s="128">
        <v>1743422</v>
      </c>
      <c r="C14" s="128"/>
      <c r="D14" s="128">
        <v>1743430</v>
      </c>
      <c r="E14" s="128"/>
      <c r="F14" s="12">
        <v>34092</v>
      </c>
      <c r="G14" s="169" t="s">
        <v>257</v>
      </c>
      <c r="H14" s="169"/>
      <c r="I14" s="32">
        <v>202125.52</v>
      </c>
      <c r="J14" s="32">
        <f t="shared" si="0"/>
        <v>161700.416</v>
      </c>
    </row>
    <row r="15" spans="1:10" x14ac:dyDescent="0.2">
      <c r="A15" s="9">
        <v>10</v>
      </c>
      <c r="B15" s="128">
        <v>1739743</v>
      </c>
      <c r="C15" s="128"/>
      <c r="D15" s="128">
        <v>1739751</v>
      </c>
      <c r="E15" s="128"/>
      <c r="F15" s="12">
        <v>34779</v>
      </c>
      <c r="G15" s="169" t="s">
        <v>258</v>
      </c>
      <c r="H15" s="169"/>
      <c r="I15" s="32">
        <v>91341.48</v>
      </c>
      <c r="J15" s="32">
        <f t="shared" si="0"/>
        <v>73073.183999999994</v>
      </c>
    </row>
    <row r="16" spans="1:10" x14ac:dyDescent="0.2">
      <c r="A16" s="9">
        <v>11</v>
      </c>
      <c r="B16" s="128">
        <v>1743376</v>
      </c>
      <c r="C16" s="128"/>
      <c r="D16" s="128">
        <v>1743384</v>
      </c>
      <c r="E16" s="128"/>
      <c r="F16" s="12">
        <v>34583</v>
      </c>
      <c r="G16" s="169" t="s">
        <v>259</v>
      </c>
      <c r="H16" s="169"/>
      <c r="I16" s="32">
        <v>141464.79</v>
      </c>
      <c r="J16" s="32">
        <f t="shared" si="0"/>
        <v>113171.83200000001</v>
      </c>
    </row>
    <row r="17" spans="1:10" x14ac:dyDescent="0.2">
      <c r="A17" s="9">
        <v>12</v>
      </c>
      <c r="B17" s="128">
        <v>1744453</v>
      </c>
      <c r="C17" s="128"/>
      <c r="D17" s="128">
        <v>1744461</v>
      </c>
      <c r="E17" s="128"/>
      <c r="F17" s="12">
        <v>35625</v>
      </c>
      <c r="G17" s="169" t="s">
        <v>260</v>
      </c>
      <c r="H17" s="169"/>
      <c r="I17" s="32">
        <v>75464.13</v>
      </c>
      <c r="J17" s="32">
        <f t="shared" si="0"/>
        <v>60371.304000000004</v>
      </c>
    </row>
    <row r="18" spans="1:10" x14ac:dyDescent="0.2">
      <c r="A18" s="9">
        <v>13</v>
      </c>
      <c r="B18" s="128">
        <v>1741179</v>
      </c>
      <c r="C18" s="128"/>
      <c r="D18" s="128">
        <v>1741187</v>
      </c>
      <c r="E18" s="128"/>
      <c r="F18" s="12">
        <v>35884</v>
      </c>
      <c r="G18" s="169" t="s">
        <v>261</v>
      </c>
      <c r="H18" s="169"/>
      <c r="I18" s="32">
        <v>96747.82</v>
      </c>
      <c r="J18" s="32">
        <f t="shared" si="0"/>
        <v>77398.256000000008</v>
      </c>
    </row>
    <row r="19" spans="1:10" x14ac:dyDescent="0.2">
      <c r="A19" s="9">
        <v>14</v>
      </c>
      <c r="B19" s="128">
        <v>1739522</v>
      </c>
      <c r="C19" s="128"/>
      <c r="D19" s="128">
        <v>1739522</v>
      </c>
      <c r="E19" s="128"/>
      <c r="F19" s="12">
        <v>35884</v>
      </c>
      <c r="G19" s="169" t="s">
        <v>262</v>
      </c>
      <c r="H19" s="169"/>
      <c r="I19" s="32">
        <v>31352.79</v>
      </c>
      <c r="J19" s="32">
        <f t="shared" si="0"/>
        <v>25082.232000000004</v>
      </c>
    </row>
    <row r="20" spans="1:10" x14ac:dyDescent="0.2">
      <c r="A20" s="9">
        <v>15</v>
      </c>
      <c r="B20" s="128">
        <v>1743546</v>
      </c>
      <c r="C20" s="128"/>
      <c r="D20" s="128">
        <v>1743554</v>
      </c>
      <c r="E20" s="128"/>
      <c r="F20" s="12">
        <v>35884</v>
      </c>
      <c r="G20" s="169" t="s">
        <v>263</v>
      </c>
      <c r="H20" s="169"/>
      <c r="I20" s="32">
        <v>68646.720000000001</v>
      </c>
      <c r="J20" s="32">
        <f t="shared" si="0"/>
        <v>54917.376000000004</v>
      </c>
    </row>
    <row r="21" spans="1:10" x14ac:dyDescent="0.2">
      <c r="A21" s="9">
        <v>16</v>
      </c>
      <c r="B21" s="128">
        <v>1744577</v>
      </c>
      <c r="C21" s="128"/>
      <c r="D21" s="128">
        <v>1744577</v>
      </c>
      <c r="E21" s="128"/>
      <c r="F21" s="12">
        <v>35884</v>
      </c>
      <c r="G21" s="169" t="s">
        <v>264</v>
      </c>
      <c r="H21" s="169"/>
      <c r="I21" s="32">
        <v>36908.29</v>
      </c>
      <c r="J21" s="32">
        <f t="shared" si="0"/>
        <v>29526.632000000001</v>
      </c>
    </row>
    <row r="22" spans="1:10" ht="12.75" customHeight="1" x14ac:dyDescent="0.2">
      <c r="A22" s="9">
        <v>17</v>
      </c>
      <c r="B22" s="128">
        <v>1745026</v>
      </c>
      <c r="C22" s="128"/>
      <c r="D22" s="137" t="s">
        <v>1182</v>
      </c>
      <c r="E22" s="128"/>
      <c r="F22" s="12">
        <v>42424</v>
      </c>
      <c r="G22" s="169"/>
      <c r="H22" s="169"/>
      <c r="I22" s="32">
        <v>286518.25</v>
      </c>
      <c r="J22" s="32">
        <f t="shared" si="0"/>
        <v>229214.6</v>
      </c>
    </row>
    <row r="23" spans="1:10" ht="12.75" customHeight="1" x14ac:dyDescent="0.2">
      <c r="A23" s="9">
        <v>18</v>
      </c>
      <c r="B23" s="128">
        <v>1739131</v>
      </c>
      <c r="C23" s="128"/>
      <c r="D23" s="137" t="s">
        <v>1182</v>
      </c>
      <c r="E23" s="128"/>
      <c r="F23" s="12">
        <v>43711</v>
      </c>
      <c r="G23" s="169"/>
      <c r="H23" s="169"/>
      <c r="I23" s="32">
        <v>168105.63</v>
      </c>
      <c r="J23" s="32">
        <f t="shared" si="0"/>
        <v>134484.50400000002</v>
      </c>
    </row>
    <row r="24" spans="1:10" ht="12.75" customHeight="1" x14ac:dyDescent="0.2">
      <c r="A24" s="9">
        <v>19</v>
      </c>
      <c r="B24" s="128">
        <v>1741773</v>
      </c>
      <c r="C24" s="128"/>
      <c r="D24" s="230" t="s">
        <v>1182</v>
      </c>
      <c r="E24" s="128"/>
      <c r="F24" s="12">
        <v>44305</v>
      </c>
      <c r="G24" s="261" t="s">
        <v>1456</v>
      </c>
      <c r="H24" s="169"/>
      <c r="I24" s="32">
        <v>292978.81</v>
      </c>
      <c r="J24" s="32">
        <f t="shared" si="0"/>
        <v>234383.04800000001</v>
      </c>
    </row>
    <row r="25" spans="1:10" ht="12.75" customHeight="1" x14ac:dyDescent="0.2">
      <c r="A25" s="9"/>
      <c r="B25" s="128"/>
      <c r="C25" s="128"/>
      <c r="D25" s="128"/>
      <c r="E25" s="128"/>
      <c r="F25" s="12"/>
      <c r="G25" s="169"/>
      <c r="H25" s="169"/>
      <c r="I25" s="32"/>
      <c r="J25" s="32"/>
    </row>
    <row r="26" spans="1:10" ht="12.75" customHeight="1" x14ac:dyDescent="0.2">
      <c r="A26" s="9"/>
      <c r="B26" s="128"/>
      <c r="C26" s="128"/>
      <c r="D26" s="128"/>
      <c r="E26" s="128"/>
      <c r="F26" s="12"/>
      <c r="G26" s="169"/>
      <c r="H26" s="169"/>
      <c r="I26" s="32"/>
      <c r="J26" s="32"/>
    </row>
    <row r="27" spans="1:10" ht="12.75" customHeight="1" x14ac:dyDescent="0.2">
      <c r="A27" s="9"/>
      <c r="B27" s="128"/>
      <c r="C27" s="128"/>
      <c r="D27" s="128"/>
      <c r="E27" s="128"/>
      <c r="F27" s="12"/>
      <c r="G27" s="169"/>
      <c r="H27" s="169"/>
      <c r="I27" s="32"/>
      <c r="J27" s="32"/>
    </row>
    <row r="28" spans="1:10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33">
        <f>SUM(I6:I27)</f>
        <v>2254850.5</v>
      </c>
      <c r="J28" s="33">
        <f>SUM(J6:J27)</f>
        <v>1803880.4000000001</v>
      </c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31" t="s">
        <v>34</v>
      </c>
      <c r="B30" s="132"/>
      <c r="C30" s="132"/>
      <c r="D30" s="132"/>
      <c r="E30" s="132"/>
      <c r="F30" s="132"/>
      <c r="G30" s="132"/>
      <c r="H30" s="132"/>
      <c r="I30" s="132"/>
      <c r="J30" s="133"/>
    </row>
    <row r="31" spans="1:10" x14ac:dyDescent="0.2">
      <c r="A31" s="169" t="s">
        <v>23</v>
      </c>
      <c r="B31" s="169" t="s">
        <v>35</v>
      </c>
      <c r="C31" s="169"/>
      <c r="D31" s="169" t="s">
        <v>36</v>
      </c>
      <c r="E31" s="169" t="s">
        <v>37</v>
      </c>
      <c r="F31" s="169"/>
      <c r="G31" s="169" t="s">
        <v>38</v>
      </c>
      <c r="H31" s="169"/>
      <c r="I31" s="169" t="s">
        <v>39</v>
      </c>
      <c r="J31" s="169"/>
    </row>
    <row r="32" spans="1:10" x14ac:dyDescent="0.2">
      <c r="A32" s="169"/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x14ac:dyDescent="0.2">
      <c r="A33" s="9">
        <v>1</v>
      </c>
      <c r="B33" s="183" t="s">
        <v>265</v>
      </c>
      <c r="C33" s="128"/>
      <c r="D33" s="9">
        <v>3821</v>
      </c>
      <c r="E33" s="182">
        <v>34018</v>
      </c>
      <c r="F33" s="128"/>
      <c r="G33" s="128">
        <v>1706001</v>
      </c>
      <c r="H33" s="128"/>
      <c r="I33" s="136">
        <v>59431</v>
      </c>
      <c r="J33" s="136"/>
    </row>
    <row r="34" spans="1:10" x14ac:dyDescent="0.2">
      <c r="A34" s="9">
        <v>2</v>
      </c>
      <c r="B34" s="183" t="s">
        <v>266</v>
      </c>
      <c r="C34" s="128"/>
      <c r="D34" s="9">
        <v>3820</v>
      </c>
      <c r="E34" s="182">
        <v>34455</v>
      </c>
      <c r="F34" s="128"/>
      <c r="G34" s="183" t="s">
        <v>267</v>
      </c>
      <c r="H34" s="128"/>
      <c r="I34" s="136">
        <v>127645</v>
      </c>
      <c r="J34" s="136"/>
    </row>
    <row r="35" spans="1:10" x14ac:dyDescent="0.2">
      <c r="A35" s="9">
        <v>3</v>
      </c>
      <c r="B35" s="183" t="s">
        <v>268</v>
      </c>
      <c r="C35" s="128"/>
      <c r="D35" s="9">
        <v>3641</v>
      </c>
      <c r="E35" s="182">
        <v>34080</v>
      </c>
      <c r="F35" s="128"/>
      <c r="G35" s="128">
        <v>1700002</v>
      </c>
      <c r="H35" s="128"/>
      <c r="I35" s="136">
        <v>61764</v>
      </c>
      <c r="J35" s="136"/>
    </row>
    <row r="36" spans="1:10" x14ac:dyDescent="0.2">
      <c r="A36" s="9">
        <v>4</v>
      </c>
      <c r="B36" s="183" t="s">
        <v>269</v>
      </c>
      <c r="C36" s="128"/>
      <c r="D36" s="9">
        <v>6316</v>
      </c>
      <c r="E36" s="182">
        <v>34881</v>
      </c>
      <c r="F36" s="128"/>
      <c r="G36" s="128">
        <v>1707001</v>
      </c>
      <c r="H36" s="128"/>
      <c r="I36" s="136">
        <v>70812</v>
      </c>
      <c r="J36" s="136"/>
    </row>
    <row r="37" spans="1:10" x14ac:dyDescent="0.2">
      <c r="A37" s="9">
        <v>5</v>
      </c>
      <c r="B37" s="183" t="s">
        <v>270</v>
      </c>
      <c r="C37" s="128"/>
      <c r="D37" s="9">
        <v>7728</v>
      </c>
      <c r="E37" s="182">
        <v>34851</v>
      </c>
      <c r="F37" s="128"/>
      <c r="G37" s="128">
        <v>1708001</v>
      </c>
      <c r="H37" s="128"/>
      <c r="I37" s="136">
        <v>50955</v>
      </c>
      <c r="J37" s="136"/>
    </row>
    <row r="38" spans="1:10" x14ac:dyDescent="0.2">
      <c r="A38" s="9">
        <v>6</v>
      </c>
      <c r="B38" s="183" t="s">
        <v>271</v>
      </c>
      <c r="C38" s="128"/>
      <c r="D38" s="9">
        <v>9446</v>
      </c>
      <c r="E38" s="182">
        <v>34881</v>
      </c>
      <c r="F38" s="128"/>
      <c r="G38" s="128">
        <v>1709001</v>
      </c>
      <c r="H38" s="128"/>
      <c r="I38" s="136">
        <v>36536</v>
      </c>
      <c r="J38" s="136"/>
    </row>
    <row r="39" spans="1:10" x14ac:dyDescent="0.2">
      <c r="A39" s="9">
        <v>7</v>
      </c>
      <c r="B39" s="183" t="s">
        <v>272</v>
      </c>
      <c r="C39" s="128"/>
      <c r="D39" s="9">
        <v>9748</v>
      </c>
      <c r="E39" s="182">
        <v>35034</v>
      </c>
      <c r="F39" s="128"/>
      <c r="G39" s="128">
        <v>1710001</v>
      </c>
      <c r="H39" s="128"/>
      <c r="I39" s="136">
        <v>58562</v>
      </c>
      <c r="J39" s="136"/>
    </row>
    <row r="40" spans="1:10" x14ac:dyDescent="0.2">
      <c r="A40" s="9">
        <v>8</v>
      </c>
      <c r="B40" s="183" t="s">
        <v>273</v>
      </c>
      <c r="C40" s="128"/>
      <c r="D40" s="9">
        <v>9993</v>
      </c>
      <c r="E40" s="182">
        <v>35125</v>
      </c>
      <c r="F40" s="128"/>
      <c r="G40" s="183" t="s">
        <v>274</v>
      </c>
      <c r="H40" s="128"/>
      <c r="I40" s="136">
        <v>27699</v>
      </c>
      <c r="J40" s="136"/>
    </row>
    <row r="41" spans="1:10" x14ac:dyDescent="0.2">
      <c r="A41" s="9">
        <v>9</v>
      </c>
      <c r="B41" s="183" t="s">
        <v>275</v>
      </c>
      <c r="C41" s="128"/>
      <c r="D41" s="9">
        <v>10351</v>
      </c>
      <c r="E41" s="182">
        <v>35125</v>
      </c>
      <c r="F41" s="128"/>
      <c r="G41" s="128" t="s">
        <v>276</v>
      </c>
      <c r="H41" s="128"/>
      <c r="I41" s="136">
        <v>33903</v>
      </c>
      <c r="J41" s="136"/>
    </row>
    <row r="42" spans="1:10" x14ac:dyDescent="0.2">
      <c r="A42" s="9">
        <v>10</v>
      </c>
      <c r="B42" s="183" t="s">
        <v>277</v>
      </c>
      <c r="C42" s="128"/>
      <c r="D42" s="9">
        <v>11828</v>
      </c>
      <c r="E42" s="182">
        <v>35186</v>
      </c>
      <c r="F42" s="128"/>
      <c r="G42" s="183" t="s">
        <v>278</v>
      </c>
      <c r="H42" s="128"/>
      <c r="I42" s="136">
        <v>31714</v>
      </c>
      <c r="J42" s="136"/>
    </row>
    <row r="43" spans="1:10" x14ac:dyDescent="0.2">
      <c r="A43" s="9">
        <v>11</v>
      </c>
      <c r="B43" s="183" t="s">
        <v>279</v>
      </c>
      <c r="C43" s="128"/>
      <c r="D43" s="9">
        <v>12626</v>
      </c>
      <c r="E43" s="182">
        <v>35674</v>
      </c>
      <c r="F43" s="128"/>
      <c r="G43" s="183" t="s">
        <v>280</v>
      </c>
      <c r="H43" s="128"/>
      <c r="I43" s="136">
        <v>98496</v>
      </c>
      <c r="J43" s="136"/>
    </row>
    <row r="44" spans="1:10" x14ac:dyDescent="0.2">
      <c r="A44" s="9">
        <v>12</v>
      </c>
      <c r="B44" s="183" t="s">
        <v>281</v>
      </c>
      <c r="C44" s="128"/>
      <c r="D44" s="9">
        <v>14336</v>
      </c>
      <c r="E44" s="182">
        <v>36373</v>
      </c>
      <c r="F44" s="128"/>
      <c r="G44" s="183" t="s">
        <v>282</v>
      </c>
      <c r="H44" s="128"/>
      <c r="I44" s="136">
        <v>37562</v>
      </c>
      <c r="J44" s="136"/>
    </row>
    <row r="45" spans="1:10" x14ac:dyDescent="0.2">
      <c r="A45" s="9">
        <v>13</v>
      </c>
      <c r="B45" s="183" t="s">
        <v>283</v>
      </c>
      <c r="C45" s="128"/>
      <c r="D45" s="9">
        <v>15558</v>
      </c>
      <c r="E45" s="182">
        <v>36373</v>
      </c>
      <c r="F45" s="128"/>
      <c r="G45" s="183" t="s">
        <v>284</v>
      </c>
      <c r="H45" s="128"/>
      <c r="I45" s="136">
        <v>32873</v>
      </c>
      <c r="J45" s="136"/>
    </row>
    <row r="46" spans="1:10" x14ac:dyDescent="0.2">
      <c r="A46" s="9">
        <v>14</v>
      </c>
      <c r="B46" s="183" t="s">
        <v>285</v>
      </c>
      <c r="C46" s="128"/>
      <c r="D46" s="9">
        <v>13056</v>
      </c>
      <c r="E46" s="182">
        <v>36465</v>
      </c>
      <c r="F46" s="128"/>
      <c r="G46" s="183" t="s">
        <v>286</v>
      </c>
      <c r="H46" s="128"/>
      <c r="I46" s="136">
        <v>78017</v>
      </c>
      <c r="J46" s="136"/>
    </row>
    <row r="47" spans="1:10" x14ac:dyDescent="0.2">
      <c r="A47" s="27">
        <v>15</v>
      </c>
      <c r="B47" s="267" t="s">
        <v>287</v>
      </c>
      <c r="C47" s="266"/>
      <c r="D47" s="27">
        <v>15638</v>
      </c>
      <c r="E47" s="265">
        <v>36861</v>
      </c>
      <c r="F47" s="266"/>
      <c r="G47" s="267" t="s">
        <v>288</v>
      </c>
      <c r="H47" s="266"/>
      <c r="I47" s="279">
        <v>59750</v>
      </c>
      <c r="J47" s="279"/>
    </row>
    <row r="48" spans="1:10" x14ac:dyDescent="0.2">
      <c r="A48" s="9">
        <v>16</v>
      </c>
      <c r="B48" s="197">
        <v>436150</v>
      </c>
      <c r="C48" s="193"/>
      <c r="D48" s="9">
        <v>24324</v>
      </c>
      <c r="E48" s="125">
        <v>40662</v>
      </c>
      <c r="F48" s="127"/>
      <c r="G48" s="192" t="s">
        <v>881</v>
      </c>
      <c r="H48" s="193"/>
      <c r="I48" s="194">
        <v>112006.15</v>
      </c>
      <c r="J48" s="195"/>
    </row>
    <row r="49" spans="1:10" x14ac:dyDescent="0.2">
      <c r="A49" s="19">
        <v>17</v>
      </c>
      <c r="B49" s="160"/>
      <c r="C49" s="161"/>
      <c r="D49" s="19">
        <v>84982</v>
      </c>
      <c r="E49" s="162">
        <v>261028</v>
      </c>
      <c r="F49" s="163"/>
      <c r="G49" s="164" t="s">
        <v>290</v>
      </c>
      <c r="H49" s="161"/>
      <c r="I49" s="166">
        <v>40855.58</v>
      </c>
      <c r="J49" s="167"/>
    </row>
    <row r="50" spans="1:10" x14ac:dyDescent="0.2">
      <c r="A50" s="19">
        <v>18</v>
      </c>
      <c r="B50" s="160"/>
      <c r="C50" s="161"/>
      <c r="D50" s="19">
        <v>90189</v>
      </c>
      <c r="E50" s="162" t="s">
        <v>938</v>
      </c>
      <c r="F50" s="163"/>
      <c r="G50" s="164"/>
      <c r="H50" s="161"/>
      <c r="I50" s="166">
        <v>4052.8</v>
      </c>
      <c r="J50" s="167"/>
    </row>
    <row r="51" spans="1:10" x14ac:dyDescent="0.2">
      <c r="A51" s="19">
        <v>19</v>
      </c>
      <c r="B51" s="160">
        <v>438324</v>
      </c>
      <c r="C51" s="161"/>
      <c r="D51" s="19">
        <v>92841</v>
      </c>
      <c r="E51" s="162">
        <v>43181</v>
      </c>
      <c r="F51" s="163"/>
      <c r="G51" s="164" t="s">
        <v>957</v>
      </c>
      <c r="H51" s="165"/>
      <c r="I51" s="166">
        <v>119637.13</v>
      </c>
      <c r="J51" s="167"/>
    </row>
    <row r="52" spans="1:10" x14ac:dyDescent="0.2">
      <c r="A52" s="19"/>
      <c r="B52" s="160"/>
      <c r="C52" s="161"/>
      <c r="D52" s="19">
        <v>93988</v>
      </c>
      <c r="E52" s="162">
        <v>43601</v>
      </c>
      <c r="F52" s="163"/>
      <c r="G52" s="164" t="s">
        <v>1081</v>
      </c>
      <c r="H52" s="165"/>
      <c r="I52" s="166">
        <v>13273.49</v>
      </c>
      <c r="J52" s="167"/>
    </row>
    <row r="53" spans="1:10" x14ac:dyDescent="0.2">
      <c r="A53" s="26">
        <v>20</v>
      </c>
      <c r="B53" s="268"/>
      <c r="C53" s="269"/>
      <c r="D53" s="26">
        <v>114951</v>
      </c>
      <c r="E53" s="275"/>
      <c r="F53" s="276"/>
      <c r="G53" s="277" t="s">
        <v>1346</v>
      </c>
      <c r="H53" s="278"/>
      <c r="I53" s="273">
        <v>173550</v>
      </c>
      <c r="J53" s="274"/>
    </row>
    <row r="54" spans="1:10" x14ac:dyDescent="0.2">
      <c r="A54" s="26"/>
      <c r="B54" s="268"/>
      <c r="C54" s="269"/>
      <c r="D54" s="26"/>
      <c r="E54" s="275"/>
      <c r="F54" s="276"/>
      <c r="G54" s="277"/>
      <c r="H54" s="278"/>
      <c r="I54" s="273"/>
      <c r="J54" s="274"/>
    </row>
    <row r="55" spans="1:10" x14ac:dyDescent="0.2">
      <c r="A55" s="26"/>
      <c r="B55" s="268"/>
      <c r="C55" s="269"/>
      <c r="D55" s="26"/>
      <c r="E55" s="275"/>
      <c r="F55" s="276"/>
      <c r="G55" s="277"/>
      <c r="H55" s="278"/>
      <c r="I55" s="273"/>
      <c r="J55" s="274"/>
    </row>
    <row r="56" spans="1:10" x14ac:dyDescent="0.2">
      <c r="A56" s="26"/>
      <c r="B56" s="268"/>
      <c r="C56" s="269"/>
      <c r="D56" s="26"/>
      <c r="E56" s="270"/>
      <c r="F56" s="271"/>
      <c r="G56" s="272"/>
      <c r="H56" s="269"/>
      <c r="I56" s="273"/>
      <c r="J56" s="274"/>
    </row>
    <row r="57" spans="1:10" x14ac:dyDescent="0.2">
      <c r="A57" s="13"/>
      <c r="B57" s="13"/>
      <c r="C57" s="13"/>
      <c r="D57" s="13"/>
      <c r="E57" s="13"/>
      <c r="F57" s="13"/>
      <c r="G57" s="13"/>
      <c r="H57" s="13" t="s">
        <v>33</v>
      </c>
      <c r="I57" s="140">
        <f>SUM(I33:J56)</f>
        <v>1329094.1500000001</v>
      </c>
      <c r="J57" s="140"/>
    </row>
    <row r="58" spans="1:10" x14ac:dyDescent="0.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 x14ac:dyDescent="0.25">
      <c r="A59" s="15" t="s">
        <v>46</v>
      </c>
      <c r="B59" s="16"/>
      <c r="C59" s="16"/>
      <c r="D59" s="16"/>
      <c r="E59" s="16"/>
      <c r="F59" s="16"/>
      <c r="G59" s="16"/>
      <c r="H59" s="16"/>
      <c r="I59" s="149" t="s">
        <v>47</v>
      </c>
      <c r="J59" s="150"/>
    </row>
    <row r="60" spans="1:10" x14ac:dyDescent="0.2">
      <c r="A60" s="144" t="s">
        <v>48</v>
      </c>
      <c r="B60" s="144"/>
      <c r="C60" s="144"/>
      <c r="D60" s="144"/>
      <c r="E60" s="144"/>
      <c r="F60" s="144"/>
      <c r="G60" s="144"/>
      <c r="H60" s="144"/>
      <c r="I60" s="148">
        <f>I28*80%</f>
        <v>1803880.4000000001</v>
      </c>
      <c r="J60" s="148"/>
    </row>
    <row r="61" spans="1:10" x14ac:dyDescent="0.2">
      <c r="A61" s="144" t="s">
        <v>49</v>
      </c>
      <c r="B61" s="144"/>
      <c r="C61" s="144"/>
      <c r="D61" s="144"/>
      <c r="E61" s="144"/>
      <c r="F61" s="144"/>
      <c r="G61" s="144"/>
      <c r="H61" s="144"/>
      <c r="I61" s="184">
        <f>Gallia!I25-107544</f>
        <v>-107544</v>
      </c>
      <c r="J61" s="184"/>
    </row>
    <row r="62" spans="1:10" x14ac:dyDescent="0.2">
      <c r="A62" s="185" t="s">
        <v>896</v>
      </c>
      <c r="B62" s="142"/>
      <c r="C62" s="142"/>
      <c r="D62" s="142"/>
      <c r="E62" s="142"/>
      <c r="F62" s="142"/>
      <c r="G62" s="142"/>
      <c r="H62" s="143"/>
      <c r="I62" s="146">
        <v>16515</v>
      </c>
      <c r="J62" s="147"/>
    </row>
    <row r="63" spans="1:10" x14ac:dyDescent="0.2">
      <c r="A63" s="186" t="s">
        <v>974</v>
      </c>
      <c r="B63" s="142"/>
      <c r="C63" s="142"/>
      <c r="D63" s="142"/>
      <c r="E63" s="142"/>
      <c r="F63" s="142"/>
      <c r="G63" s="142"/>
      <c r="H63" s="143"/>
      <c r="I63" s="146">
        <v>96753.73</v>
      </c>
      <c r="J63" s="147"/>
    </row>
    <row r="64" spans="1:10" ht="13.5" thickBot="1" x14ac:dyDescent="0.25">
      <c r="A64" s="144" t="s">
        <v>50</v>
      </c>
      <c r="B64" s="144"/>
      <c r="C64" s="144"/>
      <c r="D64" s="144"/>
      <c r="E64" s="144"/>
      <c r="F64" s="144"/>
      <c r="G64" s="144"/>
      <c r="H64" s="144"/>
      <c r="I64" s="145">
        <f>I57</f>
        <v>1329094.1500000001</v>
      </c>
      <c r="J64" s="145"/>
    </row>
    <row r="65" spans="1:10" ht="13.5" thickTop="1" x14ac:dyDescent="0.2">
      <c r="H65" s="18" t="s">
        <v>33</v>
      </c>
      <c r="I65" s="129">
        <f>I60+I61+I62+I63-I64</f>
        <v>480510.98</v>
      </c>
      <c r="J65" s="130"/>
    </row>
    <row r="67" spans="1:10" ht="15" x14ac:dyDescent="0.25">
      <c r="A67" s="131" t="s">
        <v>51</v>
      </c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x14ac:dyDescent="0.2">
      <c r="A68" s="139" t="s">
        <v>289</v>
      </c>
      <c r="B68" s="139"/>
      <c r="C68" s="139"/>
      <c r="D68" s="139"/>
      <c r="E68" s="139"/>
      <c r="F68" s="139"/>
      <c r="G68" s="139"/>
      <c r="H68" s="139"/>
      <c r="I68" s="139"/>
      <c r="J68" s="139"/>
    </row>
    <row r="69" spans="1:10" x14ac:dyDescent="0.2">
      <c r="A69" s="139"/>
      <c r="B69" s="139"/>
      <c r="C69" s="139"/>
      <c r="D69" s="139"/>
      <c r="E69" s="139"/>
      <c r="F69" s="139"/>
      <c r="G69" s="139"/>
      <c r="H69" s="139"/>
      <c r="I69" s="139"/>
      <c r="J69" s="139"/>
    </row>
    <row r="70" spans="1:10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</row>
    <row r="71" spans="1:10" x14ac:dyDescent="0.2">
      <c r="A71" s="139"/>
      <c r="B71" s="139"/>
      <c r="C71" s="139"/>
      <c r="D71" s="139"/>
      <c r="E71" s="139"/>
      <c r="F71" s="139"/>
      <c r="G71" s="139"/>
      <c r="H71" s="139"/>
      <c r="I71" s="139"/>
      <c r="J71" s="139"/>
    </row>
    <row r="72" spans="1:10" x14ac:dyDescent="0.2">
      <c r="A72" s="139"/>
      <c r="B72" s="139"/>
      <c r="C72" s="139"/>
      <c r="D72" s="139"/>
      <c r="E72" s="139"/>
      <c r="F72" s="139"/>
      <c r="G72" s="139"/>
      <c r="H72" s="139"/>
      <c r="I72" s="139"/>
      <c r="J72" s="139"/>
    </row>
    <row r="73" spans="1:10" x14ac:dyDescent="0.2">
      <c r="A73" s="139"/>
      <c r="B73" s="139"/>
      <c r="C73" s="139"/>
      <c r="D73" s="139"/>
      <c r="E73" s="139"/>
      <c r="F73" s="139"/>
      <c r="G73" s="139"/>
      <c r="H73" s="139"/>
      <c r="I73" s="139"/>
      <c r="J73" s="139"/>
    </row>
  </sheetData>
  <mergeCells count="193">
    <mergeCell ref="G25:H25"/>
    <mergeCell ref="B54:C54"/>
    <mergeCell ref="E54:F54"/>
    <mergeCell ref="G54:H54"/>
    <mergeCell ref="I54:J54"/>
    <mergeCell ref="B49:C49"/>
    <mergeCell ref="I47:J47"/>
    <mergeCell ref="I48:J48"/>
    <mergeCell ref="B44:C44"/>
    <mergeCell ref="E44:F44"/>
    <mergeCell ref="E40:F40"/>
    <mergeCell ref="G40:H40"/>
    <mergeCell ref="I40:J40"/>
    <mergeCell ref="B37:C37"/>
    <mergeCell ref="E37:F37"/>
    <mergeCell ref="G37:H37"/>
    <mergeCell ref="I37:J37"/>
    <mergeCell ref="B38:C38"/>
    <mergeCell ref="E38:F38"/>
    <mergeCell ref="G38:H38"/>
    <mergeCell ref="I38:J38"/>
    <mergeCell ref="I34:J34"/>
    <mergeCell ref="B35:C35"/>
    <mergeCell ref="E35:F35"/>
    <mergeCell ref="B25:C25"/>
    <mergeCell ref="D25:E25"/>
    <mergeCell ref="B55:C55"/>
    <mergeCell ref="E55:F55"/>
    <mergeCell ref="G55:H55"/>
    <mergeCell ref="I55:J55"/>
    <mergeCell ref="B27:C27"/>
    <mergeCell ref="D27:E27"/>
    <mergeCell ref="G27:H27"/>
    <mergeCell ref="G52:H52"/>
    <mergeCell ref="E45:F45"/>
    <mergeCell ref="B47:C47"/>
    <mergeCell ref="B41:C41"/>
    <mergeCell ref="E41:F41"/>
    <mergeCell ref="G41:H41"/>
    <mergeCell ref="I41:J41"/>
    <mergeCell ref="B42:C42"/>
    <mergeCell ref="E42:F42"/>
    <mergeCell ref="G42:H42"/>
    <mergeCell ref="I42:J42"/>
    <mergeCell ref="B43:C43"/>
    <mergeCell ref="B39:C39"/>
    <mergeCell ref="E39:F39"/>
    <mergeCell ref="G39:H39"/>
    <mergeCell ref="A68:J73"/>
    <mergeCell ref="A67:J67"/>
    <mergeCell ref="I65:J65"/>
    <mergeCell ref="I61:J61"/>
    <mergeCell ref="A64:H64"/>
    <mergeCell ref="I64:J64"/>
    <mergeCell ref="A61:H61"/>
    <mergeCell ref="A62:H62"/>
    <mergeCell ref="I62:J62"/>
    <mergeCell ref="A63:H63"/>
    <mergeCell ref="A60:H60"/>
    <mergeCell ref="I60:J60"/>
    <mergeCell ref="I59:J59"/>
    <mergeCell ref="I63:J63"/>
    <mergeCell ref="B48:C48"/>
    <mergeCell ref="B56:C56"/>
    <mergeCell ref="E48:F48"/>
    <mergeCell ref="E56:F56"/>
    <mergeCell ref="G56:H56"/>
    <mergeCell ref="G48:H48"/>
    <mergeCell ref="I57:J57"/>
    <mergeCell ref="I56:J56"/>
    <mergeCell ref="I53:J53"/>
    <mergeCell ref="I51:J51"/>
    <mergeCell ref="E50:F50"/>
    <mergeCell ref="G50:H50"/>
    <mergeCell ref="B50:C50"/>
    <mergeCell ref="I52:J52"/>
    <mergeCell ref="B53:C53"/>
    <mergeCell ref="E53:F53"/>
    <mergeCell ref="G53:H53"/>
    <mergeCell ref="I45:J45"/>
    <mergeCell ref="A30:J30"/>
    <mergeCell ref="A31:A32"/>
    <mergeCell ref="B31:C32"/>
    <mergeCell ref="D31:D32"/>
    <mergeCell ref="I50:J50"/>
    <mergeCell ref="B45:C45"/>
    <mergeCell ref="G44:H44"/>
    <mergeCell ref="I44:J44"/>
    <mergeCell ref="G45:H45"/>
    <mergeCell ref="E46:F46"/>
    <mergeCell ref="E47:F47"/>
    <mergeCell ref="G47:H47"/>
    <mergeCell ref="G46:H46"/>
    <mergeCell ref="I46:J46"/>
    <mergeCell ref="E43:F43"/>
    <mergeCell ref="B46:C46"/>
    <mergeCell ref="G43:H43"/>
    <mergeCell ref="I43:J43"/>
    <mergeCell ref="E49:F49"/>
    <mergeCell ref="G49:H49"/>
    <mergeCell ref="I49:J49"/>
    <mergeCell ref="I39:J39"/>
    <mergeCell ref="B40:C40"/>
    <mergeCell ref="G35:H35"/>
    <mergeCell ref="I35:J35"/>
    <mergeCell ref="B36:C36"/>
    <mergeCell ref="E36:F36"/>
    <mergeCell ref="G36:H36"/>
    <mergeCell ref="I36:J36"/>
    <mergeCell ref="I31:J32"/>
    <mergeCell ref="B21:C21"/>
    <mergeCell ref="D21:E21"/>
    <mergeCell ref="G21:H21"/>
    <mergeCell ref="B33:C33"/>
    <mergeCell ref="E33:F33"/>
    <mergeCell ref="G33:H33"/>
    <mergeCell ref="I33:J33"/>
    <mergeCell ref="E31:F32"/>
    <mergeCell ref="B22:C22"/>
    <mergeCell ref="D22:E22"/>
    <mergeCell ref="G22:H22"/>
    <mergeCell ref="B26:C26"/>
    <mergeCell ref="D26:E26"/>
    <mergeCell ref="G26:H26"/>
    <mergeCell ref="B23:C23"/>
    <mergeCell ref="D23:E23"/>
    <mergeCell ref="G23:H23"/>
    <mergeCell ref="B20:C20"/>
    <mergeCell ref="D20:E20"/>
    <mergeCell ref="G20:H20"/>
    <mergeCell ref="B19:C19"/>
    <mergeCell ref="D19:E19"/>
    <mergeCell ref="G19:H19"/>
    <mergeCell ref="B18:C18"/>
    <mergeCell ref="D18:E18"/>
    <mergeCell ref="G18:H18"/>
    <mergeCell ref="B17:C17"/>
    <mergeCell ref="D17:E17"/>
    <mergeCell ref="G17:H17"/>
    <mergeCell ref="B16:C16"/>
    <mergeCell ref="D16:E16"/>
    <mergeCell ref="G16:H16"/>
    <mergeCell ref="B15:C15"/>
    <mergeCell ref="D15:E15"/>
    <mergeCell ref="G15:H15"/>
    <mergeCell ref="B9:C9"/>
    <mergeCell ref="D9:E9"/>
    <mergeCell ref="G9:H9"/>
    <mergeCell ref="B14:C14"/>
    <mergeCell ref="D14:E14"/>
    <mergeCell ref="G14:H14"/>
    <mergeCell ref="B13:C13"/>
    <mergeCell ref="D13:E13"/>
    <mergeCell ref="G13:H13"/>
    <mergeCell ref="B12:C12"/>
    <mergeCell ref="D12:E12"/>
    <mergeCell ref="G12:H12"/>
    <mergeCell ref="A3:J3"/>
    <mergeCell ref="A4:A5"/>
    <mergeCell ref="B4:E4"/>
    <mergeCell ref="F4:F5"/>
    <mergeCell ref="G4:H5"/>
    <mergeCell ref="B5:C5"/>
    <mergeCell ref="D5:E5"/>
    <mergeCell ref="B6:C6"/>
    <mergeCell ref="D6:E6"/>
    <mergeCell ref="G6:H6"/>
    <mergeCell ref="I4:I5"/>
    <mergeCell ref="J4:J5"/>
    <mergeCell ref="B8:C8"/>
    <mergeCell ref="D8:E8"/>
    <mergeCell ref="G8:H8"/>
    <mergeCell ref="B7:C7"/>
    <mergeCell ref="D7:E7"/>
    <mergeCell ref="G7:H7"/>
    <mergeCell ref="B51:C51"/>
    <mergeCell ref="B52:C52"/>
    <mergeCell ref="E52:F52"/>
    <mergeCell ref="E51:F51"/>
    <mergeCell ref="G51:H51"/>
    <mergeCell ref="B24:C24"/>
    <mergeCell ref="D24:E24"/>
    <mergeCell ref="G24:H24"/>
    <mergeCell ref="G31:H32"/>
    <mergeCell ref="B34:C34"/>
    <mergeCell ref="E34:F34"/>
    <mergeCell ref="G34:H34"/>
    <mergeCell ref="B11:C11"/>
    <mergeCell ref="D11:E11"/>
    <mergeCell ref="G11:H11"/>
    <mergeCell ref="B10:C10"/>
    <mergeCell ref="D10:E10"/>
    <mergeCell ref="G10:H10"/>
  </mergeCells>
  <phoneticPr fontId="6" type="noConversion"/>
  <pageMargins left="0.75" right="0.75" top="1" bottom="1" header="0.5" footer="0.5"/>
  <pageSetup scale="7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J42"/>
  <sheetViews>
    <sheetView topLeftCell="A13" workbookViewId="0">
      <selection activeCell="I26" sqref="I26:J26"/>
    </sheetView>
  </sheetViews>
  <sheetFormatPr defaultRowHeight="12.75" x14ac:dyDescent="0.2"/>
  <cols>
    <col min="6" max="6" width="12.140625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291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173"/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0" x14ac:dyDescent="0.2">
      <c r="A6" s="9">
        <v>1</v>
      </c>
      <c r="B6" s="128">
        <v>1943960</v>
      </c>
      <c r="C6" s="128"/>
      <c r="D6" s="128">
        <v>1944010</v>
      </c>
      <c r="E6" s="128"/>
      <c r="F6" s="12">
        <v>33920</v>
      </c>
      <c r="G6" s="169" t="s">
        <v>292</v>
      </c>
      <c r="H6" s="169"/>
      <c r="I6" s="280">
        <v>146741.21</v>
      </c>
      <c r="J6" s="281"/>
    </row>
    <row r="7" spans="1:10" x14ac:dyDescent="0.2">
      <c r="A7" s="9">
        <v>2</v>
      </c>
      <c r="B7" s="128">
        <v>1957198</v>
      </c>
      <c r="C7" s="128"/>
      <c r="D7" s="128">
        <v>1957201</v>
      </c>
      <c r="E7" s="128"/>
      <c r="F7" s="12">
        <v>34417</v>
      </c>
      <c r="G7" s="169" t="s">
        <v>293</v>
      </c>
      <c r="H7" s="169"/>
      <c r="I7" s="280">
        <v>178949.28</v>
      </c>
      <c r="J7" s="281"/>
    </row>
    <row r="8" spans="1:10" x14ac:dyDescent="0.2">
      <c r="A8" s="9">
        <v>3</v>
      </c>
      <c r="B8" s="128">
        <v>1932942</v>
      </c>
      <c r="C8" s="128"/>
      <c r="D8" s="128">
        <v>1932888</v>
      </c>
      <c r="E8" s="128"/>
      <c r="F8" s="12">
        <v>34417</v>
      </c>
      <c r="G8" s="169" t="s">
        <v>294</v>
      </c>
      <c r="H8" s="169"/>
      <c r="I8" s="280">
        <v>154594.6</v>
      </c>
      <c r="J8" s="281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280"/>
      <c r="J9" s="281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280"/>
      <c r="J10" s="281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280"/>
      <c r="J11" s="281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280"/>
      <c r="J12" s="281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282"/>
      <c r="J13" s="283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284">
        <f>SUM(I6:J13)</f>
        <v>480285.08999999997</v>
      </c>
      <c r="J14" s="284"/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 t="s">
        <v>295</v>
      </c>
      <c r="C19" s="128"/>
      <c r="D19" s="9">
        <v>10755</v>
      </c>
      <c r="E19" s="182">
        <v>35034</v>
      </c>
      <c r="F19" s="128"/>
      <c r="G19" s="128">
        <v>1912002</v>
      </c>
      <c r="H19" s="128"/>
      <c r="I19" s="136">
        <v>37591</v>
      </c>
      <c r="J19" s="136"/>
    </row>
    <row r="20" spans="1:10" x14ac:dyDescent="0.2">
      <c r="A20" s="9">
        <v>2</v>
      </c>
      <c r="B20" s="183" t="s">
        <v>296</v>
      </c>
      <c r="C20" s="128"/>
      <c r="D20" s="9">
        <v>10704</v>
      </c>
      <c r="E20" s="182">
        <v>35186</v>
      </c>
      <c r="F20" s="128"/>
      <c r="G20" s="128">
        <v>1924001</v>
      </c>
      <c r="H20" s="128"/>
      <c r="I20" s="136">
        <v>27527</v>
      </c>
      <c r="J20" s="136"/>
    </row>
    <row r="21" spans="1:10" x14ac:dyDescent="0.2">
      <c r="A21" s="9">
        <v>3</v>
      </c>
      <c r="B21" s="183" t="s">
        <v>297</v>
      </c>
      <c r="C21" s="128"/>
      <c r="D21" s="9">
        <v>11905</v>
      </c>
      <c r="E21" s="182">
        <v>35096</v>
      </c>
      <c r="F21" s="128"/>
      <c r="G21" s="183" t="s">
        <v>298</v>
      </c>
      <c r="H21" s="128"/>
      <c r="I21" s="136">
        <v>52906</v>
      </c>
      <c r="J21" s="136"/>
    </row>
    <row r="22" spans="1:10" x14ac:dyDescent="0.2">
      <c r="A22" s="9">
        <v>4</v>
      </c>
      <c r="B22" s="183" t="s">
        <v>299</v>
      </c>
      <c r="C22" s="128"/>
      <c r="D22" s="9">
        <v>10750</v>
      </c>
      <c r="E22" s="182">
        <v>35125</v>
      </c>
      <c r="F22" s="128"/>
      <c r="G22" s="128">
        <v>1925001</v>
      </c>
      <c r="H22" s="128"/>
      <c r="I22" s="136">
        <v>104010</v>
      </c>
      <c r="J22" s="136"/>
    </row>
    <row r="23" spans="1:10" x14ac:dyDescent="0.2">
      <c r="A23" s="9">
        <v>5</v>
      </c>
      <c r="B23" s="183" t="s">
        <v>300</v>
      </c>
      <c r="C23" s="128"/>
      <c r="D23" s="9">
        <v>13448</v>
      </c>
      <c r="E23" s="182">
        <v>36586</v>
      </c>
      <c r="F23" s="128"/>
      <c r="G23" s="183" t="s">
        <v>301</v>
      </c>
      <c r="H23" s="128"/>
      <c r="I23" s="136">
        <v>133326</v>
      </c>
      <c r="J23" s="136"/>
    </row>
    <row r="24" spans="1:10" x14ac:dyDescent="0.2">
      <c r="A24" s="9">
        <v>6</v>
      </c>
      <c r="B24" s="183" t="s">
        <v>302</v>
      </c>
      <c r="C24" s="128"/>
      <c r="D24" s="9">
        <v>14918</v>
      </c>
      <c r="E24" s="182">
        <v>35739</v>
      </c>
      <c r="F24" s="128"/>
      <c r="G24" s="183" t="s">
        <v>303</v>
      </c>
      <c r="H24" s="128"/>
      <c r="I24" s="136">
        <v>66433</v>
      </c>
      <c r="J24" s="136"/>
    </row>
    <row r="25" spans="1:10" x14ac:dyDescent="0.2">
      <c r="A25" s="9">
        <v>7</v>
      </c>
      <c r="B25" s="183" t="s">
        <v>304</v>
      </c>
      <c r="C25" s="128"/>
      <c r="D25" s="9">
        <v>16685</v>
      </c>
      <c r="E25" s="182">
        <v>35739</v>
      </c>
      <c r="F25" s="128"/>
      <c r="G25" s="183" t="s">
        <v>305</v>
      </c>
      <c r="H25" s="128"/>
      <c r="I25" s="136">
        <f>36197-17761.93</f>
        <v>18435.07</v>
      </c>
      <c r="J25" s="136"/>
    </row>
    <row r="26" spans="1:10" x14ac:dyDescent="0.2">
      <c r="A26" s="9">
        <v>8</v>
      </c>
      <c r="B26" s="128">
        <v>478222</v>
      </c>
      <c r="C26" s="128"/>
      <c r="D26" s="9">
        <v>77274</v>
      </c>
      <c r="E26" s="182">
        <v>39672</v>
      </c>
      <c r="F26" s="128"/>
      <c r="G26" s="128" t="s">
        <v>306</v>
      </c>
      <c r="H26" s="128"/>
      <c r="I26" s="136">
        <v>18826</v>
      </c>
      <c r="J26" s="136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459054.07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240">
        <f>I14*80%</f>
        <v>384228.07199999999</v>
      </c>
      <c r="J31" s="240"/>
    </row>
    <row r="32" spans="1:10" x14ac:dyDescent="0.2">
      <c r="A32" s="144" t="s">
        <v>49</v>
      </c>
      <c r="B32" s="144"/>
      <c r="C32" s="144"/>
      <c r="D32" s="144"/>
      <c r="E32" s="144"/>
      <c r="F32" s="144"/>
      <c r="G32" s="144"/>
      <c r="H32" s="144"/>
      <c r="I32" s="245">
        <f>56000+18826</f>
        <v>74826</v>
      </c>
      <c r="J32" s="245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246">
        <f>I28</f>
        <v>459054.07</v>
      </c>
      <c r="J33" s="246"/>
    </row>
    <row r="34" spans="1:10" ht="13.5" thickTop="1" x14ac:dyDescent="0.2">
      <c r="H34" s="18" t="s">
        <v>33</v>
      </c>
      <c r="I34" s="243">
        <f>I31+I32-I33</f>
        <v>1.9999999785795808E-3</v>
      </c>
      <c r="J34" s="244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139" t="s">
        <v>307</v>
      </c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95">
    <mergeCell ref="A31:H31"/>
    <mergeCell ref="I31:J31"/>
    <mergeCell ref="I34:J34"/>
    <mergeCell ref="A36:J36"/>
    <mergeCell ref="A37:J42"/>
    <mergeCell ref="A32:H32"/>
    <mergeCell ref="I32:J32"/>
    <mergeCell ref="A33:H33"/>
    <mergeCell ref="I33:J33"/>
    <mergeCell ref="I30:J30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I28:J28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I14:J14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I12:J12"/>
    <mergeCell ref="B13:C13"/>
    <mergeCell ref="D13:E13"/>
    <mergeCell ref="G13:H13"/>
    <mergeCell ref="I13:J13"/>
    <mergeCell ref="B10:C10"/>
    <mergeCell ref="D10:E10"/>
    <mergeCell ref="G10:H10"/>
    <mergeCell ref="I10:J10"/>
    <mergeCell ref="B11:C11"/>
    <mergeCell ref="D11:E11"/>
    <mergeCell ref="G11:H11"/>
    <mergeCell ref="I11:J11"/>
    <mergeCell ref="B8:C8"/>
    <mergeCell ref="D8:E8"/>
    <mergeCell ref="G8:H8"/>
    <mergeCell ref="I8:J8"/>
    <mergeCell ref="B9:C9"/>
    <mergeCell ref="D9:E9"/>
    <mergeCell ref="G9:H9"/>
    <mergeCell ref="I9:J9"/>
    <mergeCell ref="B6:C6"/>
    <mergeCell ref="D6:E6"/>
    <mergeCell ref="G6:H6"/>
    <mergeCell ref="I6:J6"/>
    <mergeCell ref="B7:C7"/>
    <mergeCell ref="D7:E7"/>
    <mergeCell ref="G7:H7"/>
    <mergeCell ref="I7:J7"/>
    <mergeCell ref="A3:J3"/>
    <mergeCell ref="A4:A5"/>
    <mergeCell ref="B4:E4"/>
    <mergeCell ref="F4:F5"/>
    <mergeCell ref="G4:H5"/>
    <mergeCell ref="I4:J5"/>
    <mergeCell ref="B5:C5"/>
    <mergeCell ref="D5:E5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A1:J53"/>
  <sheetViews>
    <sheetView topLeftCell="A19" workbookViewId="0">
      <selection activeCell="A43" sqref="A43:H43"/>
    </sheetView>
  </sheetViews>
  <sheetFormatPr defaultRowHeight="12.75" x14ac:dyDescent="0.2"/>
  <cols>
    <col min="6" max="6" width="11.140625" customWidth="1"/>
    <col min="9" max="9" width="11.14062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308</v>
      </c>
      <c r="B2" s="6"/>
      <c r="C2" s="6"/>
      <c r="D2" s="6"/>
      <c r="E2" s="6"/>
      <c r="F2" s="6"/>
      <c r="G2" s="6"/>
      <c r="H2" s="6"/>
      <c r="I2" s="6"/>
      <c r="J2" s="7" t="s">
        <v>21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36" t="s">
        <v>27</v>
      </c>
      <c r="J4" s="136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36"/>
      <c r="J5" s="136"/>
    </row>
    <row r="6" spans="1:10" x14ac:dyDescent="0.2">
      <c r="A6" s="9">
        <v>1</v>
      </c>
      <c r="B6" s="128">
        <v>2044498</v>
      </c>
      <c r="C6" s="128"/>
      <c r="D6" s="128"/>
      <c r="E6" s="128"/>
      <c r="F6" s="12">
        <v>34583</v>
      </c>
      <c r="G6" s="169" t="s">
        <v>309</v>
      </c>
      <c r="H6" s="169"/>
      <c r="I6" s="32">
        <v>57104.69</v>
      </c>
      <c r="J6" s="32">
        <f>I6*0.8</f>
        <v>45683.752000000008</v>
      </c>
    </row>
    <row r="7" spans="1:10" x14ac:dyDescent="0.2">
      <c r="A7" s="9">
        <v>2</v>
      </c>
      <c r="B7" s="128">
        <v>2043203</v>
      </c>
      <c r="C7" s="128"/>
      <c r="D7" s="128"/>
      <c r="E7" s="128"/>
      <c r="F7" s="12">
        <v>34969</v>
      </c>
      <c r="G7" s="169" t="s">
        <v>310</v>
      </c>
      <c r="H7" s="169"/>
      <c r="I7" s="32">
        <v>81572.5</v>
      </c>
      <c r="J7" s="32">
        <f t="shared" ref="J7:J13" si="0">I7*0.8</f>
        <v>65258</v>
      </c>
    </row>
    <row r="8" spans="1:10" x14ac:dyDescent="0.2">
      <c r="A8" s="9">
        <v>3</v>
      </c>
      <c r="B8" s="128">
        <v>2045451</v>
      </c>
      <c r="C8" s="128"/>
      <c r="D8" s="128"/>
      <c r="E8" s="128"/>
      <c r="F8" s="12">
        <v>34970</v>
      </c>
      <c r="G8" s="169" t="s">
        <v>311</v>
      </c>
      <c r="H8" s="169"/>
      <c r="I8" s="32">
        <v>85920.62</v>
      </c>
      <c r="J8" s="32">
        <f t="shared" si="0"/>
        <v>68736.495999999999</v>
      </c>
    </row>
    <row r="9" spans="1:10" x14ac:dyDescent="0.2">
      <c r="A9" s="9">
        <v>4</v>
      </c>
      <c r="B9" s="128">
        <v>2043424</v>
      </c>
      <c r="C9" s="128"/>
      <c r="D9" s="128"/>
      <c r="E9" s="128"/>
      <c r="F9" s="12">
        <v>35360</v>
      </c>
      <c r="G9" s="169" t="s">
        <v>312</v>
      </c>
      <c r="H9" s="169"/>
      <c r="I9" s="32">
        <v>85734.32</v>
      </c>
      <c r="J9" s="32">
        <f t="shared" si="0"/>
        <v>68587.456000000006</v>
      </c>
    </row>
    <row r="10" spans="1:10" x14ac:dyDescent="0.2">
      <c r="A10" s="9">
        <v>5</v>
      </c>
      <c r="B10" s="128">
        <v>2045656</v>
      </c>
      <c r="C10" s="128"/>
      <c r="D10" s="128"/>
      <c r="E10" s="128"/>
      <c r="F10" s="12">
        <v>35360</v>
      </c>
      <c r="G10" s="169" t="s">
        <v>313</v>
      </c>
      <c r="H10" s="169"/>
      <c r="I10" s="32">
        <v>71065.42</v>
      </c>
      <c r="J10" s="32">
        <f t="shared" si="0"/>
        <v>56852.336000000003</v>
      </c>
    </row>
    <row r="11" spans="1:10" x14ac:dyDescent="0.2">
      <c r="A11" s="9">
        <v>6</v>
      </c>
      <c r="B11" s="128">
        <v>2044595</v>
      </c>
      <c r="C11" s="128"/>
      <c r="D11" s="128"/>
      <c r="E11" s="128"/>
      <c r="F11" s="12">
        <v>35564</v>
      </c>
      <c r="G11" s="169" t="s">
        <v>314</v>
      </c>
      <c r="H11" s="169"/>
      <c r="I11" s="32">
        <v>84872.62</v>
      </c>
      <c r="J11" s="32">
        <f t="shared" si="0"/>
        <v>67898.096000000005</v>
      </c>
    </row>
    <row r="12" spans="1:10" x14ac:dyDescent="0.2">
      <c r="A12" s="9">
        <v>7</v>
      </c>
      <c r="B12" s="128">
        <v>2045710</v>
      </c>
      <c r="C12" s="128"/>
      <c r="D12" s="128"/>
      <c r="E12" s="128"/>
      <c r="F12" s="12">
        <v>35564</v>
      </c>
      <c r="G12" s="169" t="s">
        <v>315</v>
      </c>
      <c r="H12" s="169"/>
      <c r="I12" s="32">
        <v>98389.28</v>
      </c>
      <c r="J12" s="32">
        <f t="shared" si="0"/>
        <v>78711.423999999999</v>
      </c>
    </row>
    <row r="13" spans="1:10" x14ac:dyDescent="0.2">
      <c r="A13" s="9">
        <v>8</v>
      </c>
      <c r="B13" s="128">
        <v>2031701</v>
      </c>
      <c r="C13" s="128"/>
      <c r="D13" s="128"/>
      <c r="E13" s="128"/>
      <c r="F13" s="12">
        <v>39826</v>
      </c>
      <c r="G13" s="169"/>
      <c r="H13" s="169"/>
      <c r="I13" s="32">
        <v>271039.09999999998</v>
      </c>
      <c r="J13" s="32">
        <f t="shared" si="0"/>
        <v>216831.28</v>
      </c>
    </row>
    <row r="14" spans="1:10" x14ac:dyDescent="0.2">
      <c r="A14" s="9"/>
      <c r="B14" s="128"/>
      <c r="C14" s="128"/>
      <c r="D14" s="128"/>
      <c r="E14" s="128"/>
      <c r="F14" s="12"/>
      <c r="G14" s="169"/>
      <c r="H14" s="169"/>
      <c r="I14" s="32"/>
      <c r="J14" s="32"/>
    </row>
    <row r="15" spans="1:10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33">
        <f>SUM(I6:I14)</f>
        <v>835698.54999999993</v>
      </c>
      <c r="J15" s="33">
        <f>SUM(J6:J14)</f>
        <v>668558.84000000008</v>
      </c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31" t="s">
        <v>34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x14ac:dyDescent="0.2">
      <c r="A18" s="169" t="s">
        <v>23</v>
      </c>
      <c r="B18" s="169" t="s">
        <v>35</v>
      </c>
      <c r="C18" s="169"/>
      <c r="D18" s="169" t="s">
        <v>36</v>
      </c>
      <c r="E18" s="169" t="s">
        <v>37</v>
      </c>
      <c r="F18" s="169"/>
      <c r="G18" s="169" t="s">
        <v>38</v>
      </c>
      <c r="H18" s="169"/>
      <c r="I18" s="169" t="s">
        <v>39</v>
      </c>
      <c r="J18" s="169"/>
    </row>
    <row r="19" spans="1:10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x14ac:dyDescent="0.2">
      <c r="A20" s="9">
        <v>1</v>
      </c>
      <c r="B20" s="183" t="s">
        <v>316</v>
      </c>
      <c r="C20" s="128"/>
      <c r="D20" s="9">
        <v>12213</v>
      </c>
      <c r="E20" s="182">
        <v>35551</v>
      </c>
      <c r="F20" s="128"/>
      <c r="G20" s="183" t="s">
        <v>317</v>
      </c>
      <c r="H20" s="128"/>
      <c r="I20" s="136">
        <v>52401</v>
      </c>
      <c r="J20" s="136"/>
    </row>
    <row r="21" spans="1:10" x14ac:dyDescent="0.2">
      <c r="A21" s="9">
        <v>2</v>
      </c>
      <c r="B21" s="183" t="s">
        <v>318</v>
      </c>
      <c r="C21" s="128"/>
      <c r="D21" s="9">
        <v>12211</v>
      </c>
      <c r="E21" s="182">
        <v>36373</v>
      </c>
      <c r="F21" s="128"/>
      <c r="G21" s="183" t="s">
        <v>319</v>
      </c>
      <c r="H21" s="128"/>
      <c r="I21" s="136">
        <v>94924</v>
      </c>
      <c r="J21" s="136"/>
    </row>
    <row r="22" spans="1:10" x14ac:dyDescent="0.2">
      <c r="A22" s="9"/>
      <c r="B22" s="183" t="s">
        <v>320</v>
      </c>
      <c r="C22" s="128"/>
      <c r="D22" s="9">
        <v>12212</v>
      </c>
      <c r="E22" s="182">
        <v>36465</v>
      </c>
      <c r="F22" s="128"/>
      <c r="G22" s="183" t="s">
        <v>321</v>
      </c>
      <c r="H22" s="128"/>
      <c r="I22" s="136">
        <v>137627</v>
      </c>
      <c r="J22" s="136"/>
    </row>
    <row r="23" spans="1:10" x14ac:dyDescent="0.2">
      <c r="A23" s="9">
        <v>3</v>
      </c>
      <c r="B23" s="183" t="s">
        <v>322</v>
      </c>
      <c r="C23" s="128"/>
      <c r="D23" s="9">
        <v>15743</v>
      </c>
      <c r="E23" s="182">
        <v>36373</v>
      </c>
      <c r="F23" s="128"/>
      <c r="G23" s="183" t="s">
        <v>323</v>
      </c>
      <c r="H23" s="128"/>
      <c r="I23" s="136">
        <v>40283</v>
      </c>
      <c r="J23" s="136"/>
    </row>
    <row r="24" spans="1:10" x14ac:dyDescent="0.2">
      <c r="A24" s="9">
        <v>4</v>
      </c>
      <c r="B24" s="183" t="s">
        <v>324</v>
      </c>
      <c r="C24" s="128"/>
      <c r="D24" s="9">
        <v>15744</v>
      </c>
      <c r="E24" s="182">
        <v>36342</v>
      </c>
      <c r="F24" s="128"/>
      <c r="G24" s="183" t="s">
        <v>325</v>
      </c>
      <c r="H24" s="128"/>
      <c r="I24" s="136">
        <v>60568</v>
      </c>
      <c r="J24" s="136"/>
    </row>
    <row r="25" spans="1:10" x14ac:dyDescent="0.2">
      <c r="A25" s="9">
        <v>5</v>
      </c>
      <c r="B25" s="183" t="s">
        <v>326</v>
      </c>
      <c r="C25" s="128"/>
      <c r="D25" s="9">
        <v>15742</v>
      </c>
      <c r="E25" s="182">
        <v>36342</v>
      </c>
      <c r="F25" s="128"/>
      <c r="G25" s="183" t="s">
        <v>327</v>
      </c>
      <c r="H25" s="128"/>
      <c r="I25" s="136">
        <v>65169</v>
      </c>
      <c r="J25" s="136"/>
    </row>
    <row r="26" spans="1:10" x14ac:dyDescent="0.2">
      <c r="A26" s="9">
        <v>6</v>
      </c>
      <c r="B26" s="128">
        <v>416120</v>
      </c>
      <c r="C26" s="128"/>
      <c r="D26" s="9">
        <v>75598</v>
      </c>
      <c r="E26" s="182">
        <v>39981</v>
      </c>
      <c r="F26" s="128"/>
      <c r="G26" s="128" t="s">
        <v>328</v>
      </c>
      <c r="H26" s="128"/>
      <c r="I26" s="136">
        <v>40748.93</v>
      </c>
      <c r="J26" s="136"/>
    </row>
    <row r="27" spans="1:10" x14ac:dyDescent="0.2">
      <c r="A27" s="19">
        <v>8</v>
      </c>
      <c r="B27" s="137"/>
      <c r="C27" s="137"/>
      <c r="D27" s="19">
        <v>83344</v>
      </c>
      <c r="E27" s="196">
        <v>41962</v>
      </c>
      <c r="F27" s="137"/>
      <c r="G27" s="137" t="s">
        <v>813</v>
      </c>
      <c r="H27" s="137"/>
      <c r="I27" s="138">
        <v>67858.350000000006</v>
      </c>
      <c r="J27" s="138"/>
    </row>
    <row r="28" spans="1:10" x14ac:dyDescent="0.2">
      <c r="A28" s="19">
        <v>9</v>
      </c>
      <c r="B28" s="137"/>
      <c r="C28" s="137"/>
      <c r="D28" s="19">
        <v>84901</v>
      </c>
      <c r="E28" s="196">
        <v>41855</v>
      </c>
      <c r="F28" s="137"/>
      <c r="G28" s="137" t="s">
        <v>812</v>
      </c>
      <c r="H28" s="137"/>
      <c r="I28" s="138">
        <v>89235.43</v>
      </c>
      <c r="J28" s="138"/>
    </row>
    <row r="29" spans="1:10" x14ac:dyDescent="0.2">
      <c r="A29" s="19"/>
      <c r="B29" s="164"/>
      <c r="C29" s="165"/>
      <c r="D29" s="19">
        <v>87270</v>
      </c>
      <c r="E29" s="164" t="s">
        <v>864</v>
      </c>
      <c r="F29" s="165"/>
      <c r="G29" s="164"/>
      <c r="H29" s="165"/>
      <c r="I29" s="166">
        <v>4942.8</v>
      </c>
      <c r="J29" s="167"/>
    </row>
    <row r="30" spans="1:10" x14ac:dyDescent="0.2">
      <c r="A30" s="9"/>
      <c r="B30" s="128"/>
      <c r="C30" s="128"/>
      <c r="D30" s="9">
        <v>104253</v>
      </c>
      <c r="E30" s="128"/>
      <c r="F30" s="128"/>
      <c r="G30" s="128" t="s">
        <v>1213</v>
      </c>
      <c r="H30" s="128"/>
      <c r="I30" s="136">
        <v>144248.69</v>
      </c>
      <c r="J30" s="136"/>
    </row>
    <row r="31" spans="1:10" x14ac:dyDescent="0.2">
      <c r="A31" s="82"/>
      <c r="B31" s="198"/>
      <c r="C31" s="198"/>
      <c r="D31" s="82"/>
      <c r="E31" s="198"/>
      <c r="F31" s="198"/>
      <c r="G31" s="198"/>
      <c r="H31" s="198"/>
      <c r="I31" s="199"/>
      <c r="J31" s="199"/>
    </row>
    <row r="32" spans="1:10" x14ac:dyDescent="0.2">
      <c r="A32" s="26"/>
      <c r="B32" s="236"/>
      <c r="C32" s="236"/>
      <c r="D32" s="26"/>
      <c r="E32" s="236"/>
      <c r="F32" s="236"/>
      <c r="G32" s="236"/>
      <c r="H32" s="236"/>
      <c r="I32" s="247"/>
      <c r="J32" s="247"/>
    </row>
    <row r="33" spans="1:10" ht="13.5" thickBot="1" x14ac:dyDescent="0.25">
      <c r="A33" s="9"/>
      <c r="B33" s="128"/>
      <c r="C33" s="128"/>
      <c r="D33" s="9"/>
      <c r="E33" s="128"/>
      <c r="F33" s="128"/>
      <c r="G33" s="128"/>
      <c r="H33" s="128"/>
      <c r="I33" s="226"/>
      <c r="J33" s="226"/>
    </row>
    <row r="34" spans="1:10" ht="13.5" thickTop="1" x14ac:dyDescent="0.2">
      <c r="A34" s="13"/>
      <c r="B34" s="13"/>
      <c r="C34" s="13"/>
      <c r="D34" s="13"/>
      <c r="E34" s="13"/>
      <c r="F34" s="13"/>
      <c r="G34" s="13"/>
      <c r="H34" s="13" t="s">
        <v>33</v>
      </c>
      <c r="I34" s="140">
        <f>SUM(I20:J33)</f>
        <v>798006.2</v>
      </c>
      <c r="J34" s="140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x14ac:dyDescent="0.25">
      <c r="A36" s="15" t="s">
        <v>46</v>
      </c>
      <c r="B36" s="16"/>
      <c r="C36" s="16"/>
      <c r="D36" s="16"/>
      <c r="E36" s="16"/>
      <c r="F36" s="16"/>
      <c r="G36" s="16"/>
      <c r="H36" s="16"/>
      <c r="I36" s="149" t="s">
        <v>47</v>
      </c>
      <c r="J36" s="150"/>
    </row>
    <row r="37" spans="1:10" x14ac:dyDescent="0.2">
      <c r="A37" s="144" t="s">
        <v>48</v>
      </c>
      <c r="B37" s="144"/>
      <c r="C37" s="144"/>
      <c r="D37" s="144"/>
      <c r="E37" s="144"/>
      <c r="F37" s="144"/>
      <c r="G37" s="144"/>
      <c r="H37" s="144"/>
      <c r="I37" s="148">
        <f>I15*80%</f>
        <v>668558.84</v>
      </c>
      <c r="J37" s="148"/>
    </row>
    <row r="38" spans="1:10" x14ac:dyDescent="0.2">
      <c r="A38" s="144" t="s">
        <v>49</v>
      </c>
      <c r="B38" s="144"/>
      <c r="C38" s="144"/>
      <c r="D38" s="144"/>
      <c r="E38" s="144"/>
      <c r="F38" s="144"/>
      <c r="G38" s="144"/>
      <c r="H38" s="144"/>
      <c r="I38" s="184">
        <f>281085-200000</f>
        <v>81085</v>
      </c>
      <c r="J38" s="184"/>
    </row>
    <row r="39" spans="1:10" x14ac:dyDescent="0.2">
      <c r="A39" s="185" t="s">
        <v>6</v>
      </c>
      <c r="B39" s="142"/>
      <c r="C39" s="142"/>
      <c r="D39" s="142"/>
      <c r="E39" s="142"/>
      <c r="F39" s="142"/>
      <c r="G39" s="142"/>
      <c r="H39" s="143"/>
      <c r="I39" s="285">
        <v>-120600</v>
      </c>
      <c r="J39" s="286"/>
    </row>
    <row r="40" spans="1:10" x14ac:dyDescent="0.2">
      <c r="A40" s="141" t="s">
        <v>986</v>
      </c>
      <c r="B40" s="142"/>
      <c r="C40" s="142"/>
      <c r="D40" s="142"/>
      <c r="E40" s="142"/>
      <c r="F40" s="142"/>
      <c r="G40" s="142"/>
      <c r="H40" s="143"/>
      <c r="I40" s="285">
        <v>49253.06</v>
      </c>
      <c r="J40" s="286"/>
    </row>
    <row r="41" spans="1:10" x14ac:dyDescent="0.2">
      <c r="A41" s="141" t="s">
        <v>1487</v>
      </c>
      <c r="B41" s="142"/>
      <c r="C41" s="142"/>
      <c r="D41" s="142"/>
      <c r="E41" s="142"/>
      <c r="F41" s="142"/>
      <c r="G41" s="142"/>
      <c r="H41" s="143"/>
      <c r="I41" s="285">
        <v>173544</v>
      </c>
      <c r="J41" s="286"/>
    </row>
    <row r="42" spans="1:10" x14ac:dyDescent="0.2">
      <c r="A42" s="185" t="s">
        <v>1594</v>
      </c>
      <c r="B42" s="142"/>
      <c r="C42" s="142"/>
      <c r="D42" s="142"/>
      <c r="E42" s="142"/>
      <c r="F42" s="142"/>
      <c r="G42" s="142"/>
      <c r="H42" s="143"/>
      <c r="I42" s="285">
        <v>290000</v>
      </c>
      <c r="J42" s="286"/>
    </row>
    <row r="43" spans="1:10" x14ac:dyDescent="0.2">
      <c r="A43" s="134" t="s">
        <v>1496</v>
      </c>
      <c r="B43" s="134"/>
      <c r="C43" s="134"/>
      <c r="D43" s="134"/>
      <c r="E43" s="134"/>
      <c r="F43" s="134"/>
      <c r="G43" s="134"/>
      <c r="H43" s="134"/>
      <c r="I43" s="135">
        <v>-343834.7</v>
      </c>
      <c r="J43" s="135"/>
    </row>
    <row r="44" spans="1:10" ht="13.5" thickBot="1" x14ac:dyDescent="0.25">
      <c r="A44" s="144" t="s">
        <v>50</v>
      </c>
      <c r="B44" s="144"/>
      <c r="C44" s="144"/>
      <c r="D44" s="144"/>
      <c r="E44" s="144"/>
      <c r="F44" s="144"/>
      <c r="G44" s="144"/>
      <c r="H44" s="144"/>
      <c r="I44" s="264">
        <f>I34</f>
        <v>798006.2</v>
      </c>
      <c r="J44" s="264"/>
    </row>
    <row r="45" spans="1:10" ht="13.5" thickTop="1" x14ac:dyDescent="0.2">
      <c r="H45" s="18" t="s">
        <v>33</v>
      </c>
      <c r="I45" s="129">
        <f>I37+I38+I39+I40+I41+I42+I43-I44</f>
        <v>0</v>
      </c>
      <c r="J45" s="130"/>
    </row>
    <row r="47" spans="1:10" ht="15" x14ac:dyDescent="0.25">
      <c r="A47" s="131" t="s">
        <v>51</v>
      </c>
      <c r="B47" s="132"/>
      <c r="C47" s="132"/>
      <c r="D47" s="132"/>
      <c r="E47" s="132"/>
      <c r="F47" s="132"/>
      <c r="G47" s="132"/>
      <c r="H47" s="132"/>
      <c r="I47" s="132"/>
      <c r="J47" s="133"/>
    </row>
    <row r="48" spans="1:10" x14ac:dyDescent="0.2">
      <c r="A48" s="207" t="s">
        <v>329</v>
      </c>
      <c r="B48" s="139"/>
      <c r="C48" s="139"/>
      <c r="D48" s="139"/>
      <c r="E48" s="139"/>
      <c r="F48" s="139"/>
      <c r="G48" s="139"/>
      <c r="H48" s="139"/>
      <c r="I48" s="139"/>
      <c r="J48" s="139"/>
    </row>
    <row r="49" spans="1:10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  <row r="53" spans="1:10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</row>
  </sheetData>
  <mergeCells count="120">
    <mergeCell ref="A43:H43"/>
    <mergeCell ref="I43:J43"/>
    <mergeCell ref="A41:H41"/>
    <mergeCell ref="I41:J41"/>
    <mergeCell ref="A42:H42"/>
    <mergeCell ref="I42:J42"/>
    <mergeCell ref="B32:C32"/>
    <mergeCell ref="E32:F32"/>
    <mergeCell ref="G32:H32"/>
    <mergeCell ref="I32:J32"/>
    <mergeCell ref="B27:C27"/>
    <mergeCell ref="E27:F27"/>
    <mergeCell ref="G27:H27"/>
    <mergeCell ref="I27:J27"/>
    <mergeCell ref="B28:C28"/>
    <mergeCell ref="E28:F28"/>
    <mergeCell ref="A40:H40"/>
    <mergeCell ref="I40:J40"/>
    <mergeCell ref="A39:H39"/>
    <mergeCell ref="I39:J39"/>
    <mergeCell ref="I33:J33"/>
    <mergeCell ref="I45:J45"/>
    <mergeCell ref="A47:J47"/>
    <mergeCell ref="G28:H28"/>
    <mergeCell ref="I28:J28"/>
    <mergeCell ref="B31:C31"/>
    <mergeCell ref="E31:F31"/>
    <mergeCell ref="A48:J53"/>
    <mergeCell ref="I4:I5"/>
    <mergeCell ref="J4:J5"/>
    <mergeCell ref="A38:H38"/>
    <mergeCell ref="I38:J38"/>
    <mergeCell ref="A44:H44"/>
    <mergeCell ref="I44:J44"/>
    <mergeCell ref="I34:J34"/>
    <mergeCell ref="B26:C26"/>
    <mergeCell ref="E26:F26"/>
    <mergeCell ref="G26:H26"/>
    <mergeCell ref="I26:J26"/>
    <mergeCell ref="I36:J36"/>
    <mergeCell ref="A37:H37"/>
    <mergeCell ref="I37:J37"/>
    <mergeCell ref="B33:C33"/>
    <mergeCell ref="E33:F33"/>
    <mergeCell ref="G33:H33"/>
    <mergeCell ref="B24:C24"/>
    <mergeCell ref="E24:F24"/>
    <mergeCell ref="G24:H24"/>
    <mergeCell ref="I24:J24"/>
    <mergeCell ref="B25:C25"/>
    <mergeCell ref="E25:F25"/>
    <mergeCell ref="G25:H25"/>
    <mergeCell ref="I25:J25"/>
    <mergeCell ref="B22:C22"/>
    <mergeCell ref="E22:F22"/>
    <mergeCell ref="G22:H22"/>
    <mergeCell ref="I22:J22"/>
    <mergeCell ref="B23:C23"/>
    <mergeCell ref="E23:F23"/>
    <mergeCell ref="G23:H23"/>
    <mergeCell ref="I23:J23"/>
    <mergeCell ref="B20:C20"/>
    <mergeCell ref="E20:F20"/>
    <mergeCell ref="G20:H20"/>
    <mergeCell ref="I20:J20"/>
    <mergeCell ref="B21:C21"/>
    <mergeCell ref="E21:F21"/>
    <mergeCell ref="G21:H21"/>
    <mergeCell ref="I21:J21"/>
    <mergeCell ref="A17:J17"/>
    <mergeCell ref="A18:A19"/>
    <mergeCell ref="B18:C19"/>
    <mergeCell ref="D18:D19"/>
    <mergeCell ref="E18:F19"/>
    <mergeCell ref="G18:H19"/>
    <mergeCell ref="I18:J19"/>
    <mergeCell ref="B14:C14"/>
    <mergeCell ref="D14:E14"/>
    <mergeCell ref="G14:H14"/>
    <mergeCell ref="B13:C13"/>
    <mergeCell ref="D13:E13"/>
    <mergeCell ref="G13:H13"/>
    <mergeCell ref="B10:C10"/>
    <mergeCell ref="D10:E10"/>
    <mergeCell ref="G10:H10"/>
    <mergeCell ref="G12:H12"/>
    <mergeCell ref="D5:E5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I31:J31"/>
    <mergeCell ref="B29:C29"/>
    <mergeCell ref="E29:F29"/>
    <mergeCell ref="G29:H29"/>
    <mergeCell ref="I29:J29"/>
    <mergeCell ref="B11:C11"/>
    <mergeCell ref="D11:E11"/>
    <mergeCell ref="G11:H11"/>
    <mergeCell ref="B12:C12"/>
    <mergeCell ref="D12:E12"/>
    <mergeCell ref="B30:C30"/>
    <mergeCell ref="E30:F30"/>
    <mergeCell ref="G30:H30"/>
    <mergeCell ref="I30:J30"/>
    <mergeCell ref="G31:H31"/>
    <mergeCell ref="B9:C9"/>
    <mergeCell ref="D9:E9"/>
    <mergeCell ref="G9:H9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>
    <pageSetUpPr fitToPage="1"/>
  </sheetPr>
  <dimension ref="A1:J48"/>
  <sheetViews>
    <sheetView topLeftCell="A10" workbookViewId="0">
      <selection activeCell="E22" sqref="E22:F22"/>
    </sheetView>
  </sheetViews>
  <sheetFormatPr defaultRowHeight="12.75" x14ac:dyDescent="0.2"/>
  <cols>
    <col min="6" max="6" width="11.140625" customWidth="1"/>
    <col min="9" max="9" width="11.14062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4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36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36"/>
      <c r="J5" s="177"/>
    </row>
    <row r="6" spans="1:10" x14ac:dyDescent="0.2">
      <c r="A6" s="9">
        <v>1</v>
      </c>
      <c r="B6" s="128">
        <v>2131579</v>
      </c>
      <c r="C6" s="128"/>
      <c r="D6" s="128">
        <v>2135655</v>
      </c>
      <c r="E6" s="128"/>
      <c r="F6" s="12">
        <v>39878</v>
      </c>
      <c r="G6" s="169"/>
      <c r="H6" s="169"/>
      <c r="I6" s="32">
        <v>686440.39</v>
      </c>
      <c r="J6" s="32">
        <f>I6*0.8</f>
        <v>549152.31200000003</v>
      </c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32"/>
      <c r="J7" s="32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2"/>
      <c r="J8" s="32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9"/>
      <c r="B14" s="128"/>
      <c r="C14" s="128"/>
      <c r="D14" s="128"/>
      <c r="E14" s="128"/>
      <c r="F14" s="12"/>
      <c r="G14" s="169"/>
      <c r="H14" s="169"/>
      <c r="I14" s="32"/>
      <c r="J14" s="32"/>
    </row>
    <row r="15" spans="1:10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33">
        <f>SUM(I6:I14)</f>
        <v>686440.39</v>
      </c>
      <c r="J15" s="33">
        <f>SUM(J6:J14)</f>
        <v>549152.31200000003</v>
      </c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31" t="s">
        <v>34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x14ac:dyDescent="0.2">
      <c r="A18" s="169" t="s">
        <v>23</v>
      </c>
      <c r="B18" s="169" t="s">
        <v>35</v>
      </c>
      <c r="C18" s="169"/>
      <c r="D18" s="169" t="s">
        <v>36</v>
      </c>
      <c r="E18" s="169" t="s">
        <v>37</v>
      </c>
      <c r="F18" s="169"/>
      <c r="G18" s="169" t="s">
        <v>38</v>
      </c>
      <c r="H18" s="169"/>
      <c r="I18" s="169" t="s">
        <v>39</v>
      </c>
      <c r="J18" s="169"/>
    </row>
    <row r="19" spans="1:10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x14ac:dyDescent="0.2">
      <c r="A20" s="9">
        <v>1</v>
      </c>
      <c r="B20" s="183">
        <v>466060</v>
      </c>
      <c r="C20" s="128"/>
      <c r="D20" s="9">
        <v>80903</v>
      </c>
      <c r="E20" s="182">
        <v>40934</v>
      </c>
      <c r="F20" s="128"/>
      <c r="G20" s="128" t="s">
        <v>839</v>
      </c>
      <c r="H20" s="128"/>
      <c r="I20" s="136">
        <v>161848.41</v>
      </c>
      <c r="J20" s="136"/>
    </row>
    <row r="21" spans="1:10" x14ac:dyDescent="0.2">
      <c r="A21" s="19">
        <v>2</v>
      </c>
      <c r="B21" s="225">
        <v>466253</v>
      </c>
      <c r="C21" s="137"/>
      <c r="D21" s="19">
        <v>83528</v>
      </c>
      <c r="E21" s="196">
        <v>41626</v>
      </c>
      <c r="F21" s="137"/>
      <c r="G21" s="225" t="s">
        <v>1014</v>
      </c>
      <c r="H21" s="137"/>
      <c r="I21" s="138">
        <v>152675.37</v>
      </c>
      <c r="J21" s="138"/>
    </row>
    <row r="22" spans="1:10" x14ac:dyDescent="0.2">
      <c r="A22" s="82"/>
      <c r="B22" s="252"/>
      <c r="C22" s="198"/>
      <c r="D22" s="82">
        <v>109062</v>
      </c>
      <c r="E22" s="253"/>
      <c r="F22" s="198"/>
      <c r="G22" s="252" t="s">
        <v>1410</v>
      </c>
      <c r="H22" s="198"/>
      <c r="I22" s="199">
        <v>95700</v>
      </c>
      <c r="J22" s="199"/>
    </row>
    <row r="23" spans="1:10" x14ac:dyDescent="0.2">
      <c r="A23" s="9"/>
      <c r="B23" s="183"/>
      <c r="C23" s="128"/>
      <c r="D23" s="9"/>
      <c r="E23" s="182"/>
      <c r="F23" s="128"/>
      <c r="G23" s="183"/>
      <c r="H23" s="128"/>
      <c r="I23" s="136"/>
      <c r="J23" s="136"/>
    </row>
    <row r="24" spans="1:10" x14ac:dyDescent="0.2">
      <c r="A24" s="9"/>
      <c r="B24" s="183"/>
      <c r="C24" s="128"/>
      <c r="D24" s="9"/>
      <c r="E24" s="182"/>
      <c r="F24" s="128"/>
      <c r="G24" s="183"/>
      <c r="H24" s="128"/>
      <c r="I24" s="136"/>
      <c r="J24" s="136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x14ac:dyDescent="0.2">
      <c r="A26" s="26"/>
      <c r="B26" s="236"/>
      <c r="C26" s="236"/>
      <c r="D26" s="26"/>
      <c r="E26" s="236"/>
      <c r="F26" s="236"/>
      <c r="G26" s="236"/>
      <c r="H26" s="236"/>
      <c r="I26" s="247"/>
      <c r="J26" s="247"/>
    </row>
    <row r="27" spans="1:10" x14ac:dyDescent="0.2">
      <c r="A27" s="26"/>
      <c r="B27" s="236"/>
      <c r="C27" s="236"/>
      <c r="D27" s="26"/>
      <c r="E27" s="236"/>
      <c r="F27" s="236"/>
      <c r="G27" s="236"/>
      <c r="H27" s="236"/>
      <c r="I27" s="247"/>
      <c r="J27" s="247"/>
    </row>
    <row r="28" spans="1:10" x14ac:dyDescent="0.2">
      <c r="A28" s="26"/>
      <c r="B28" s="236"/>
      <c r="C28" s="236"/>
      <c r="D28" s="26"/>
      <c r="E28" s="236"/>
      <c r="F28" s="236"/>
      <c r="G28" s="236"/>
      <c r="H28" s="236"/>
      <c r="I28" s="247"/>
      <c r="J28" s="247"/>
    </row>
    <row r="29" spans="1:10" x14ac:dyDescent="0.2">
      <c r="A29" s="26"/>
      <c r="B29" s="236"/>
      <c r="C29" s="236"/>
      <c r="D29" s="26"/>
      <c r="E29" s="236"/>
      <c r="F29" s="236"/>
      <c r="G29" s="236"/>
      <c r="H29" s="236"/>
      <c r="I29" s="247"/>
      <c r="J29" s="247"/>
    </row>
    <row r="30" spans="1:10" ht="13.5" thickBot="1" x14ac:dyDescent="0.25">
      <c r="A30" s="9"/>
      <c r="B30" s="128"/>
      <c r="C30" s="128"/>
      <c r="D30" s="9"/>
      <c r="E30" s="128"/>
      <c r="F30" s="128"/>
      <c r="G30" s="128"/>
      <c r="H30" s="128"/>
      <c r="I30" s="226"/>
      <c r="J30" s="22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0">
        <f>SUM(I20:J30)</f>
        <v>410223.78</v>
      </c>
      <c r="J31" s="140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49" t="s">
        <v>47</v>
      </c>
      <c r="J33" s="150"/>
    </row>
    <row r="34" spans="1:10" x14ac:dyDescent="0.2">
      <c r="A34" s="144" t="s">
        <v>48</v>
      </c>
      <c r="B34" s="144"/>
      <c r="C34" s="144"/>
      <c r="D34" s="144"/>
      <c r="E34" s="144"/>
      <c r="F34" s="144"/>
      <c r="G34" s="144"/>
      <c r="H34" s="144"/>
      <c r="I34" s="148">
        <f>I15*80%</f>
        <v>549152.31200000003</v>
      </c>
      <c r="J34" s="148"/>
    </row>
    <row r="35" spans="1:10" x14ac:dyDescent="0.2">
      <c r="A35" s="144" t="s">
        <v>49</v>
      </c>
      <c r="B35" s="144"/>
      <c r="C35" s="144"/>
      <c r="D35" s="144"/>
      <c r="E35" s="144"/>
      <c r="F35" s="144"/>
      <c r="G35" s="144"/>
      <c r="H35" s="144"/>
      <c r="I35" s="184"/>
      <c r="J35" s="184"/>
    </row>
    <row r="36" spans="1:10" x14ac:dyDescent="0.2">
      <c r="A36" s="231" t="s">
        <v>1080</v>
      </c>
      <c r="B36" s="144"/>
      <c r="C36" s="144"/>
      <c r="D36" s="144"/>
      <c r="E36" s="144"/>
      <c r="F36" s="144"/>
      <c r="G36" s="144"/>
      <c r="H36" s="144"/>
      <c r="I36" s="184">
        <v>-120000</v>
      </c>
      <c r="J36" s="184"/>
    </row>
    <row r="37" spans="1:10" x14ac:dyDescent="0.2">
      <c r="A37" s="231" t="s">
        <v>1189</v>
      </c>
      <c r="B37" s="144"/>
      <c r="C37" s="144"/>
      <c r="D37" s="144"/>
      <c r="E37" s="144"/>
      <c r="F37" s="144"/>
      <c r="G37" s="144"/>
      <c r="H37" s="144"/>
      <c r="I37" s="184">
        <v>120000</v>
      </c>
      <c r="J37" s="184"/>
    </row>
    <row r="38" spans="1:10" x14ac:dyDescent="0.2">
      <c r="A38" s="134" t="s">
        <v>1326</v>
      </c>
      <c r="B38" s="134"/>
      <c r="C38" s="134"/>
      <c r="D38" s="134"/>
      <c r="E38" s="134"/>
      <c r="F38" s="134"/>
      <c r="G38" s="134"/>
      <c r="H38" s="134"/>
      <c r="I38" s="135">
        <v>-41578.35</v>
      </c>
      <c r="J38" s="135"/>
    </row>
    <row r="39" spans="1:10" ht="13.5" thickBot="1" x14ac:dyDescent="0.25">
      <c r="A39" s="185" t="s">
        <v>50</v>
      </c>
      <c r="B39" s="142"/>
      <c r="C39" s="142"/>
      <c r="D39" s="142"/>
      <c r="E39" s="142"/>
      <c r="F39" s="142"/>
      <c r="G39" s="142"/>
      <c r="H39" s="143"/>
      <c r="I39" s="287">
        <f>I31</f>
        <v>410223.78</v>
      </c>
      <c r="J39" s="288"/>
    </row>
    <row r="40" spans="1:10" ht="13.5" thickTop="1" x14ac:dyDescent="0.2">
      <c r="H40" s="18" t="s">
        <v>33</v>
      </c>
      <c r="I40" s="129">
        <f>I34+I35+I36+I37+I38-I39</f>
        <v>97350.18200000003</v>
      </c>
      <c r="J40" s="130"/>
    </row>
    <row r="42" spans="1:10" ht="15" x14ac:dyDescent="0.25">
      <c r="A42" s="131" t="s">
        <v>51</v>
      </c>
      <c r="B42" s="132"/>
      <c r="C42" s="132"/>
      <c r="D42" s="132"/>
      <c r="E42" s="132"/>
      <c r="F42" s="132"/>
      <c r="G42" s="132"/>
      <c r="H42" s="132"/>
      <c r="I42" s="132"/>
      <c r="J42" s="133"/>
    </row>
    <row r="43" spans="1:10" x14ac:dyDescent="0.2">
      <c r="A43" s="207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</sheetData>
  <mergeCells count="104"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G14:H14"/>
    <mergeCell ref="A17:J17"/>
    <mergeCell ref="B12:C12"/>
    <mergeCell ref="D12:E12"/>
    <mergeCell ref="G12:H12"/>
    <mergeCell ref="B13:C13"/>
    <mergeCell ref="D13:E13"/>
    <mergeCell ref="G13:H13"/>
    <mergeCell ref="A18:A19"/>
    <mergeCell ref="B18:C19"/>
    <mergeCell ref="D18:D19"/>
    <mergeCell ref="E18:F19"/>
    <mergeCell ref="B14:C14"/>
    <mergeCell ref="D14:E14"/>
    <mergeCell ref="B21:C21"/>
    <mergeCell ref="E21:F21"/>
    <mergeCell ref="G21:H21"/>
    <mergeCell ref="I21:J21"/>
    <mergeCell ref="G18:H19"/>
    <mergeCell ref="I18:J19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5:C25"/>
    <mergeCell ref="E25:F25"/>
    <mergeCell ref="G25:H25"/>
    <mergeCell ref="I25:J25"/>
    <mergeCell ref="B24:C24"/>
    <mergeCell ref="E24:F24"/>
    <mergeCell ref="G24:H24"/>
    <mergeCell ref="I24:J24"/>
    <mergeCell ref="B27:C27"/>
    <mergeCell ref="E27:F27"/>
    <mergeCell ref="G27:H27"/>
    <mergeCell ref="I27:J27"/>
    <mergeCell ref="B26:C26"/>
    <mergeCell ref="E26:F26"/>
    <mergeCell ref="G26:H26"/>
    <mergeCell ref="I26:J26"/>
    <mergeCell ref="B29:C29"/>
    <mergeCell ref="E29:F29"/>
    <mergeCell ref="G29:H29"/>
    <mergeCell ref="I29:J29"/>
    <mergeCell ref="B28:C28"/>
    <mergeCell ref="E28:F28"/>
    <mergeCell ref="G28:H28"/>
    <mergeCell ref="I28:J28"/>
    <mergeCell ref="I33:J33"/>
    <mergeCell ref="A34:H34"/>
    <mergeCell ref="I34:J34"/>
    <mergeCell ref="B30:C30"/>
    <mergeCell ref="E30:F30"/>
    <mergeCell ref="G30:H30"/>
    <mergeCell ref="I30:J30"/>
    <mergeCell ref="I37:J37"/>
    <mergeCell ref="I31:J31"/>
    <mergeCell ref="A38:H38"/>
    <mergeCell ref="I38:J38"/>
    <mergeCell ref="I40:J40"/>
    <mergeCell ref="A42:J42"/>
    <mergeCell ref="A43:J48"/>
    <mergeCell ref="A35:H35"/>
    <mergeCell ref="I35:J35"/>
    <mergeCell ref="A39:H39"/>
    <mergeCell ref="I39:J39"/>
    <mergeCell ref="A36:H36"/>
    <mergeCell ref="I36:J36"/>
    <mergeCell ref="A37:H37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58"/>
  <sheetViews>
    <sheetView topLeftCell="A13" workbookViewId="0">
      <selection activeCell="I28" sqref="I28:J28"/>
    </sheetView>
  </sheetViews>
  <sheetFormatPr defaultRowHeight="12.75" x14ac:dyDescent="0.2"/>
  <cols>
    <col min="2" max="2" width="12.5703125" customWidth="1"/>
    <col min="3" max="3" width="12" customWidth="1"/>
    <col min="9" max="9" width="12.7109375" bestFit="1" customWidth="1"/>
    <col min="10" max="10" width="12.85546875" bestFit="1" customWidth="1"/>
  </cols>
  <sheetData>
    <row r="1" spans="1:15" ht="15" x14ac:dyDescent="0.2">
      <c r="A1" s="1" t="s">
        <v>19</v>
      </c>
      <c r="B1" s="2"/>
      <c r="C1" s="2"/>
      <c r="D1" s="2"/>
      <c r="E1" s="2"/>
      <c r="F1" s="2"/>
      <c r="G1" s="170"/>
      <c r="H1" s="170"/>
      <c r="I1" s="2"/>
      <c r="J1" s="3">
        <f ca="1">TODAY()</f>
        <v>45264</v>
      </c>
      <c r="K1" s="4"/>
      <c r="L1" s="4"/>
      <c r="M1" s="4"/>
      <c r="N1" s="4"/>
    </row>
    <row r="2" spans="1:15" ht="15" x14ac:dyDescent="0.2">
      <c r="A2" s="5" t="s">
        <v>20</v>
      </c>
      <c r="B2" s="6"/>
      <c r="C2" s="6"/>
      <c r="D2" s="6"/>
      <c r="E2" s="6"/>
      <c r="F2" s="6"/>
      <c r="G2" s="6"/>
      <c r="H2" s="6"/>
      <c r="I2" s="6"/>
      <c r="J2" s="7" t="s">
        <v>21</v>
      </c>
      <c r="K2" s="4"/>
      <c r="L2" s="4"/>
      <c r="M2" s="4"/>
      <c r="N2" s="4"/>
    </row>
    <row r="3" spans="1:15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  <c r="K3" s="8"/>
      <c r="L3" s="8"/>
      <c r="M3" s="8"/>
      <c r="N3" s="8"/>
      <c r="O3" s="8"/>
    </row>
    <row r="4" spans="1:15" ht="12.75" customHeight="1" x14ac:dyDescent="0.2">
      <c r="A4" s="169" t="s">
        <v>23</v>
      </c>
      <c r="B4" s="128" t="s">
        <v>24</v>
      </c>
      <c r="C4" s="128"/>
      <c r="D4" s="128" t="s">
        <v>25</v>
      </c>
      <c r="E4" s="128"/>
      <c r="F4" s="171" t="s">
        <v>26</v>
      </c>
      <c r="G4" s="172"/>
      <c r="H4" s="173"/>
      <c r="I4" s="169" t="s">
        <v>27</v>
      </c>
      <c r="J4" s="177">
        <v>0.8</v>
      </c>
      <c r="K4" s="8"/>
      <c r="L4" s="8"/>
      <c r="M4" s="8"/>
      <c r="N4" s="8"/>
      <c r="O4" s="8"/>
    </row>
    <row r="5" spans="1:15" x14ac:dyDescent="0.2">
      <c r="A5" s="169"/>
      <c r="B5" s="9" t="s">
        <v>28</v>
      </c>
      <c r="C5" s="84" t="s">
        <v>54</v>
      </c>
      <c r="D5" s="128"/>
      <c r="E5" s="128"/>
      <c r="F5" s="174"/>
      <c r="G5" s="175"/>
      <c r="H5" s="176"/>
      <c r="I5" s="169"/>
      <c r="J5" s="169"/>
      <c r="K5" s="8"/>
      <c r="L5" s="8"/>
      <c r="M5" s="8"/>
      <c r="N5" s="8"/>
      <c r="O5" s="8"/>
    </row>
    <row r="6" spans="1:15" ht="12.75" customHeight="1" x14ac:dyDescent="0.2">
      <c r="A6" s="9">
        <v>1</v>
      </c>
      <c r="B6" s="10" t="s">
        <v>29</v>
      </c>
      <c r="C6" s="85"/>
      <c r="D6" s="182">
        <v>35360</v>
      </c>
      <c r="E6" s="128"/>
      <c r="F6" s="179" t="s">
        <v>30</v>
      </c>
      <c r="G6" s="180"/>
      <c r="H6" s="181"/>
      <c r="I6" s="32">
        <v>219701.9</v>
      </c>
      <c r="J6" s="32">
        <f>I6*0.8</f>
        <v>175761.52000000002</v>
      </c>
      <c r="K6" s="8"/>
      <c r="L6" s="8"/>
      <c r="M6" s="8"/>
      <c r="N6" s="8"/>
      <c r="O6" s="8"/>
    </row>
    <row r="7" spans="1:15" ht="12.75" customHeight="1" x14ac:dyDescent="0.2">
      <c r="A7" s="9">
        <v>2</v>
      </c>
      <c r="B7" s="10" t="s">
        <v>31</v>
      </c>
      <c r="C7" s="85"/>
      <c r="D7" s="182">
        <v>35361</v>
      </c>
      <c r="E7" s="128"/>
      <c r="F7" s="179" t="s">
        <v>32</v>
      </c>
      <c r="G7" s="180"/>
      <c r="H7" s="181"/>
      <c r="I7" s="32">
        <v>101980.8</v>
      </c>
      <c r="J7" s="32">
        <f>I7*0.8</f>
        <v>81584.640000000014</v>
      </c>
      <c r="K7" s="8"/>
      <c r="L7" s="8"/>
      <c r="M7" s="8"/>
      <c r="N7" s="8"/>
      <c r="O7" s="8"/>
    </row>
    <row r="8" spans="1:15" ht="12.75" customHeight="1" x14ac:dyDescent="0.2">
      <c r="A8" s="9">
        <v>3</v>
      </c>
      <c r="B8" s="86" t="s">
        <v>1230</v>
      </c>
      <c r="C8" s="83" t="s">
        <v>1231</v>
      </c>
      <c r="D8" s="182">
        <v>42810</v>
      </c>
      <c r="E8" s="128"/>
      <c r="F8" s="179"/>
      <c r="G8" s="180"/>
      <c r="H8" s="181"/>
      <c r="I8" s="32">
        <v>500491.46</v>
      </c>
      <c r="J8" s="32">
        <f>I8*0.8</f>
        <v>400393.16800000006</v>
      </c>
      <c r="K8" s="8"/>
      <c r="L8" s="8"/>
      <c r="M8" s="8"/>
      <c r="N8" s="8"/>
      <c r="O8" s="8"/>
    </row>
    <row r="9" spans="1:15" ht="12.75" customHeight="1" x14ac:dyDescent="0.2">
      <c r="A9" s="9">
        <v>4</v>
      </c>
      <c r="B9" s="10" t="s">
        <v>1501</v>
      </c>
      <c r="C9" s="106" t="s">
        <v>1502</v>
      </c>
      <c r="D9" s="182">
        <v>44586</v>
      </c>
      <c r="E9" s="128"/>
      <c r="F9" s="179" t="s">
        <v>1503</v>
      </c>
      <c r="G9" s="180"/>
      <c r="H9" s="181"/>
      <c r="I9" s="32">
        <v>340531.28</v>
      </c>
      <c r="J9" s="32">
        <f>I9*0.8</f>
        <v>272425.02400000003</v>
      </c>
      <c r="K9" s="8"/>
      <c r="L9" s="8"/>
      <c r="M9" s="8"/>
      <c r="N9" s="8"/>
      <c r="O9" s="8"/>
    </row>
    <row r="10" spans="1:15" ht="12.75" customHeight="1" x14ac:dyDescent="0.2">
      <c r="A10" s="9"/>
      <c r="B10" s="86"/>
      <c r="C10" s="83"/>
      <c r="D10" s="182"/>
      <c r="E10" s="128"/>
      <c r="F10" s="179"/>
      <c r="G10" s="180"/>
      <c r="H10" s="181"/>
      <c r="I10" s="32"/>
      <c r="J10" s="32"/>
      <c r="K10" s="8"/>
      <c r="L10" s="8"/>
      <c r="M10" s="8"/>
      <c r="N10" s="8"/>
      <c r="O10" s="8"/>
    </row>
    <row r="11" spans="1:15" x14ac:dyDescent="0.2">
      <c r="A11" s="9"/>
      <c r="B11" s="9"/>
      <c r="C11" s="85"/>
      <c r="D11" s="128"/>
      <c r="E11" s="128"/>
      <c r="F11" s="125"/>
      <c r="G11" s="126"/>
      <c r="H11" s="127"/>
      <c r="I11" s="32"/>
      <c r="J11" s="32"/>
      <c r="K11" s="8"/>
      <c r="L11" s="8"/>
      <c r="M11" s="8"/>
      <c r="N11" s="8"/>
      <c r="O11" s="8"/>
    </row>
    <row r="12" spans="1:15" x14ac:dyDescent="0.2">
      <c r="A12" s="13"/>
      <c r="B12" s="13"/>
      <c r="C12" s="13"/>
      <c r="D12" s="13"/>
      <c r="E12" s="13"/>
      <c r="F12" s="13"/>
      <c r="G12" s="13"/>
      <c r="H12" s="13" t="s">
        <v>33</v>
      </c>
      <c r="I12" s="33">
        <f>SUM(I6:I11)</f>
        <v>1162705.44</v>
      </c>
      <c r="J12" s="33">
        <f>SUM(J6:J11)</f>
        <v>930164.35200000019</v>
      </c>
      <c r="K12" s="8"/>
      <c r="L12" s="8"/>
      <c r="M12" s="8"/>
      <c r="N12" s="8"/>
      <c r="O12" s="8"/>
    </row>
    <row r="13" spans="1:1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 x14ac:dyDescent="0.25">
      <c r="A14" s="131" t="s">
        <v>34</v>
      </c>
      <c r="B14" s="132"/>
      <c r="C14" s="132"/>
      <c r="D14" s="132"/>
      <c r="E14" s="132"/>
      <c r="F14" s="132"/>
      <c r="G14" s="132"/>
      <c r="H14" s="132"/>
      <c r="I14" s="132"/>
      <c r="J14" s="133"/>
      <c r="K14" s="8"/>
      <c r="L14" s="8"/>
      <c r="M14" s="8"/>
      <c r="N14" s="8"/>
      <c r="O14" s="8"/>
    </row>
    <row r="15" spans="1:15" x14ac:dyDescent="0.2">
      <c r="A15" s="169" t="s">
        <v>23</v>
      </c>
      <c r="B15" s="169" t="s">
        <v>35</v>
      </c>
      <c r="C15" s="169"/>
      <c r="D15" s="169" t="s">
        <v>36</v>
      </c>
      <c r="E15" s="169" t="s">
        <v>37</v>
      </c>
      <c r="F15" s="169"/>
      <c r="G15" s="169" t="s">
        <v>38</v>
      </c>
      <c r="H15" s="169"/>
      <c r="I15" s="169" t="s">
        <v>39</v>
      </c>
      <c r="J15" s="169"/>
      <c r="K15" s="8"/>
      <c r="L15" s="8"/>
      <c r="M15" s="8"/>
      <c r="N15" s="8"/>
      <c r="O15" s="8"/>
    </row>
    <row r="16" spans="1:15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8"/>
      <c r="L16" s="8"/>
      <c r="M16" s="8"/>
      <c r="N16" s="8"/>
      <c r="O16" s="8"/>
    </row>
    <row r="17" spans="1:15" x14ac:dyDescent="0.2">
      <c r="A17" s="9">
        <v>1</v>
      </c>
      <c r="B17" s="183" t="s">
        <v>40</v>
      </c>
      <c r="C17" s="128"/>
      <c r="D17" s="9">
        <v>10593</v>
      </c>
      <c r="E17" s="182">
        <v>36342</v>
      </c>
      <c r="F17" s="128"/>
      <c r="G17" s="183" t="s">
        <v>41</v>
      </c>
      <c r="H17" s="128"/>
      <c r="I17" s="136">
        <v>20254</v>
      </c>
      <c r="J17" s="136"/>
      <c r="K17" s="8"/>
      <c r="L17" s="8"/>
      <c r="M17" s="8"/>
      <c r="N17" s="8"/>
      <c r="O17" s="8"/>
    </row>
    <row r="18" spans="1:15" x14ac:dyDescent="0.2">
      <c r="A18" s="9">
        <v>2</v>
      </c>
      <c r="B18" s="183" t="s">
        <v>42</v>
      </c>
      <c r="C18" s="128"/>
      <c r="D18" s="9">
        <v>14591</v>
      </c>
      <c r="E18" s="182">
        <v>36342</v>
      </c>
      <c r="F18" s="128"/>
      <c r="G18" s="183" t="s">
        <v>43</v>
      </c>
      <c r="H18" s="128"/>
      <c r="I18" s="136">
        <v>84801</v>
      </c>
      <c r="J18" s="136"/>
      <c r="K18" s="8"/>
      <c r="L18" s="8"/>
      <c r="M18" s="8"/>
      <c r="N18" s="8"/>
      <c r="O18" s="8"/>
    </row>
    <row r="19" spans="1:15" x14ac:dyDescent="0.2">
      <c r="A19" s="9">
        <v>3</v>
      </c>
      <c r="B19" s="183" t="s">
        <v>44</v>
      </c>
      <c r="C19" s="128"/>
      <c r="D19" s="9">
        <v>14590</v>
      </c>
      <c r="E19" s="182">
        <v>36373</v>
      </c>
      <c r="F19" s="128"/>
      <c r="G19" s="183" t="s">
        <v>45</v>
      </c>
      <c r="H19" s="128"/>
      <c r="I19" s="136">
        <v>107846</v>
      </c>
      <c r="J19" s="136"/>
      <c r="K19" s="8"/>
      <c r="L19" s="8"/>
      <c r="M19" s="8"/>
      <c r="N19" s="8"/>
      <c r="O19" s="8"/>
    </row>
    <row r="20" spans="1:15" x14ac:dyDescent="0.2">
      <c r="A20" s="9">
        <v>4</v>
      </c>
      <c r="B20" s="197">
        <v>416100</v>
      </c>
      <c r="C20" s="193"/>
      <c r="D20" s="9">
        <v>75593</v>
      </c>
      <c r="E20" s="125">
        <v>40960</v>
      </c>
      <c r="F20" s="127"/>
      <c r="G20" s="192" t="s">
        <v>13</v>
      </c>
      <c r="H20" s="193"/>
      <c r="I20" s="194">
        <v>84982.58</v>
      </c>
      <c r="J20" s="195"/>
      <c r="K20" s="8"/>
      <c r="L20" s="8"/>
      <c r="M20" s="8"/>
      <c r="N20" s="8"/>
      <c r="O20" s="8"/>
    </row>
    <row r="21" spans="1:15" x14ac:dyDescent="0.2">
      <c r="A21" s="19">
        <v>6</v>
      </c>
      <c r="B21" s="160">
        <v>416599</v>
      </c>
      <c r="C21" s="161"/>
      <c r="D21" s="19">
        <v>82329</v>
      </c>
      <c r="E21" s="162">
        <v>41551</v>
      </c>
      <c r="F21" s="163"/>
      <c r="G21" s="164" t="s">
        <v>942</v>
      </c>
      <c r="H21" s="165"/>
      <c r="I21" s="166">
        <v>167250.94</v>
      </c>
      <c r="J21" s="167"/>
      <c r="K21" s="8"/>
      <c r="L21" s="8"/>
      <c r="M21" s="8"/>
      <c r="N21" s="8"/>
      <c r="O21" s="8"/>
    </row>
    <row r="22" spans="1:15" x14ac:dyDescent="0.2">
      <c r="A22" s="19">
        <v>7</v>
      </c>
      <c r="B22" s="160">
        <v>416574</v>
      </c>
      <c r="C22" s="161"/>
      <c r="D22" s="19">
        <v>82051</v>
      </c>
      <c r="E22" s="162">
        <v>41018</v>
      </c>
      <c r="F22" s="165"/>
      <c r="G22" s="164" t="s">
        <v>941</v>
      </c>
      <c r="H22" s="165"/>
      <c r="I22" s="166">
        <v>118282.66</v>
      </c>
      <c r="J22" s="167"/>
      <c r="K22" s="8"/>
      <c r="L22" s="8"/>
      <c r="M22" s="8"/>
      <c r="N22" s="8"/>
      <c r="O22" s="8"/>
    </row>
    <row r="23" spans="1:15" x14ac:dyDescent="0.2">
      <c r="A23" s="19">
        <v>8</v>
      </c>
      <c r="B23" s="160">
        <v>416462</v>
      </c>
      <c r="C23" s="161"/>
      <c r="D23" s="19">
        <v>78999</v>
      </c>
      <c r="E23" s="162">
        <v>41836</v>
      </c>
      <c r="F23" s="163"/>
      <c r="G23" s="164" t="s">
        <v>1013</v>
      </c>
      <c r="H23" s="165"/>
      <c r="I23" s="166">
        <v>142971.76999999999</v>
      </c>
      <c r="J23" s="167"/>
      <c r="K23" s="8"/>
      <c r="L23" s="8"/>
      <c r="M23" s="8"/>
      <c r="N23" s="8"/>
      <c r="O23" s="8"/>
    </row>
    <row r="24" spans="1:15" x14ac:dyDescent="0.2">
      <c r="A24" s="19">
        <v>9</v>
      </c>
      <c r="B24" s="137">
        <v>416957</v>
      </c>
      <c r="C24" s="137"/>
      <c r="D24" s="19">
        <v>92471</v>
      </c>
      <c r="E24" s="196">
        <v>43019</v>
      </c>
      <c r="F24" s="137"/>
      <c r="G24" s="137" t="s">
        <v>1108</v>
      </c>
      <c r="H24" s="137"/>
      <c r="I24" s="138">
        <v>64125</v>
      </c>
      <c r="J24" s="138"/>
      <c r="K24" s="8"/>
      <c r="L24" s="8"/>
      <c r="M24" s="8"/>
      <c r="N24" s="8"/>
      <c r="O24" s="8"/>
    </row>
    <row r="25" spans="1:15" x14ac:dyDescent="0.2">
      <c r="A25" s="19">
        <v>10</v>
      </c>
      <c r="B25" s="137"/>
      <c r="C25" s="137"/>
      <c r="D25" s="19">
        <v>77305</v>
      </c>
      <c r="E25" s="196">
        <v>43171</v>
      </c>
      <c r="F25" s="137"/>
      <c r="G25" s="128" t="s">
        <v>1067</v>
      </c>
      <c r="H25" s="137"/>
      <c r="I25" s="138">
        <v>200551</v>
      </c>
      <c r="J25" s="138"/>
      <c r="K25" s="8"/>
      <c r="L25" s="8"/>
      <c r="M25" s="8"/>
      <c r="N25" s="8"/>
      <c r="O25" s="8"/>
    </row>
    <row r="26" spans="1:15" x14ac:dyDescent="0.2">
      <c r="A26" s="9">
        <v>14</v>
      </c>
      <c r="B26" s="128"/>
      <c r="C26" s="128"/>
      <c r="D26" s="9"/>
      <c r="E26" s="128"/>
      <c r="F26" s="128"/>
      <c r="G26" s="128" t="s">
        <v>1598</v>
      </c>
      <c r="H26" s="128"/>
      <c r="I26" s="136">
        <v>151200</v>
      </c>
      <c r="J26" s="136"/>
      <c r="K26" s="8"/>
      <c r="L26" s="8"/>
      <c r="M26" s="8"/>
      <c r="N26" s="8"/>
      <c r="O26" s="8"/>
    </row>
    <row r="27" spans="1:15" x14ac:dyDescent="0.2">
      <c r="A27" s="82">
        <v>15</v>
      </c>
      <c r="B27" s="198"/>
      <c r="C27" s="198"/>
      <c r="D27" s="82">
        <v>115516</v>
      </c>
      <c r="E27" s="198"/>
      <c r="F27" s="198"/>
      <c r="G27" s="198" t="s">
        <v>1504</v>
      </c>
      <c r="H27" s="198"/>
      <c r="I27" s="199">
        <v>255642.87</v>
      </c>
      <c r="J27" s="199"/>
      <c r="K27" s="8"/>
      <c r="L27" s="8"/>
      <c r="M27" s="8"/>
      <c r="N27" s="8"/>
      <c r="O27" s="8"/>
    </row>
    <row r="28" spans="1:15" x14ac:dyDescent="0.2">
      <c r="A28" s="82"/>
      <c r="B28" s="198"/>
      <c r="C28" s="198"/>
      <c r="D28" s="82"/>
      <c r="E28" s="198"/>
      <c r="F28" s="198"/>
      <c r="G28" s="198"/>
      <c r="H28" s="198"/>
      <c r="I28" s="199"/>
      <c r="J28" s="199"/>
      <c r="K28" s="8"/>
      <c r="L28" s="8"/>
      <c r="M28" s="8"/>
      <c r="N28" s="8"/>
      <c r="O28" s="8"/>
    </row>
    <row r="29" spans="1:15" x14ac:dyDescent="0.2">
      <c r="A29" s="9"/>
      <c r="B29" s="128"/>
      <c r="C29" s="128"/>
      <c r="D29" s="9"/>
      <c r="E29" s="128"/>
      <c r="F29" s="128"/>
      <c r="G29" s="128"/>
      <c r="H29" s="128"/>
      <c r="I29" s="136"/>
      <c r="J29" s="136"/>
      <c r="K29" s="8"/>
      <c r="L29" s="8"/>
      <c r="M29" s="8"/>
      <c r="N29" s="8"/>
      <c r="O29" s="8"/>
    </row>
    <row r="30" spans="1:15" x14ac:dyDescent="0.2">
      <c r="A30" s="13"/>
      <c r="B30" s="13"/>
      <c r="C30" s="13"/>
      <c r="D30" s="13"/>
      <c r="E30" s="13"/>
      <c r="F30" s="13"/>
      <c r="G30" s="13"/>
      <c r="H30" s="13" t="s">
        <v>33</v>
      </c>
      <c r="I30" s="140">
        <f>SUM(I17:J29)</f>
        <v>1397907.8200000003</v>
      </c>
      <c r="J30" s="140"/>
      <c r="K30" s="8"/>
      <c r="L30" s="8"/>
      <c r="M30" s="8"/>
      <c r="N30" s="8"/>
      <c r="O30" s="8"/>
    </row>
    <row r="31" spans="1:1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 x14ac:dyDescent="0.25">
      <c r="A32" s="15" t="s">
        <v>46</v>
      </c>
      <c r="B32" s="16"/>
      <c r="C32" s="16"/>
      <c r="D32" s="16"/>
      <c r="E32" s="16"/>
      <c r="F32" s="16"/>
      <c r="G32" s="16"/>
      <c r="H32" s="16"/>
      <c r="I32" s="149" t="s">
        <v>47</v>
      </c>
      <c r="J32" s="150"/>
      <c r="K32" s="8"/>
      <c r="L32" s="8"/>
      <c r="M32" s="8"/>
      <c r="N32" s="8"/>
      <c r="O32" s="8"/>
    </row>
    <row r="33" spans="1:15" x14ac:dyDescent="0.2">
      <c r="A33" s="144" t="s">
        <v>48</v>
      </c>
      <c r="B33" s="144"/>
      <c r="C33" s="144"/>
      <c r="D33" s="144"/>
      <c r="E33" s="144"/>
      <c r="F33" s="144"/>
      <c r="G33" s="144"/>
      <c r="H33" s="144"/>
      <c r="I33" s="148">
        <f>I12*80%</f>
        <v>930164.35199999996</v>
      </c>
      <c r="J33" s="148"/>
      <c r="K33" s="8"/>
      <c r="L33" s="8"/>
      <c r="M33" s="8"/>
      <c r="N33" s="8"/>
      <c r="O33" s="8"/>
    </row>
    <row r="34" spans="1:15" x14ac:dyDescent="0.2">
      <c r="A34" s="144" t="s">
        <v>1544</v>
      </c>
      <c r="B34" s="144"/>
      <c r="C34" s="144"/>
      <c r="D34" s="144"/>
      <c r="E34" s="144"/>
      <c r="F34" s="144"/>
      <c r="G34" s="144"/>
      <c r="H34" s="144"/>
      <c r="I34" s="184">
        <v>20255</v>
      </c>
      <c r="J34" s="184"/>
      <c r="K34" s="8"/>
      <c r="L34" s="8"/>
      <c r="M34" s="8"/>
      <c r="N34" s="8"/>
      <c r="O34" s="8"/>
    </row>
    <row r="35" spans="1:15" x14ac:dyDescent="0.2">
      <c r="A35" s="144" t="s">
        <v>1545</v>
      </c>
      <c r="B35" s="144"/>
      <c r="C35" s="144"/>
      <c r="D35" s="144"/>
      <c r="E35" s="144"/>
      <c r="F35" s="144"/>
      <c r="G35" s="144"/>
      <c r="H35" s="144"/>
      <c r="I35" s="184">
        <v>-64700</v>
      </c>
      <c r="J35" s="184"/>
    </row>
    <row r="36" spans="1:15" x14ac:dyDescent="0.2">
      <c r="A36" s="185" t="s">
        <v>1546</v>
      </c>
      <c r="B36" s="142"/>
      <c r="C36" s="142"/>
      <c r="D36" s="142"/>
      <c r="E36" s="142"/>
      <c r="F36" s="142"/>
      <c r="G36" s="142"/>
      <c r="H36" s="143"/>
      <c r="I36" s="146">
        <v>100000</v>
      </c>
      <c r="J36" s="147"/>
    </row>
    <row r="37" spans="1:15" x14ac:dyDescent="0.2">
      <c r="A37" s="185" t="s">
        <v>904</v>
      </c>
      <c r="B37" s="142"/>
      <c r="C37" s="142"/>
      <c r="D37" s="142"/>
      <c r="E37" s="142"/>
      <c r="F37" s="142"/>
      <c r="G37" s="142"/>
      <c r="H37" s="143"/>
      <c r="I37" s="146">
        <v>181818.18</v>
      </c>
      <c r="J37" s="147"/>
    </row>
    <row r="38" spans="1:15" x14ac:dyDescent="0.2">
      <c r="A38" s="185" t="s">
        <v>9</v>
      </c>
      <c r="B38" s="142"/>
      <c r="C38" s="142"/>
      <c r="D38" s="142"/>
      <c r="E38" s="142"/>
      <c r="F38" s="142"/>
      <c r="G38" s="142"/>
      <c r="H38" s="143"/>
      <c r="I38" s="146">
        <v>50000</v>
      </c>
      <c r="J38" s="147"/>
    </row>
    <row r="39" spans="1:15" x14ac:dyDescent="0.2">
      <c r="A39" s="185" t="s">
        <v>930</v>
      </c>
      <c r="B39" s="142"/>
      <c r="C39" s="142"/>
      <c r="D39" s="142"/>
      <c r="E39" s="142"/>
      <c r="F39" s="142"/>
      <c r="G39" s="142"/>
      <c r="H39" s="143"/>
      <c r="I39" s="146">
        <v>140000</v>
      </c>
      <c r="J39" s="147"/>
    </row>
    <row r="40" spans="1:15" x14ac:dyDescent="0.2">
      <c r="A40" s="186" t="s">
        <v>1002</v>
      </c>
      <c r="B40" s="142"/>
      <c r="C40" s="142"/>
      <c r="D40" s="142"/>
      <c r="E40" s="142"/>
      <c r="F40" s="142"/>
      <c r="G40" s="142"/>
      <c r="H40" s="143"/>
      <c r="I40" s="146">
        <v>70000</v>
      </c>
      <c r="J40" s="147"/>
    </row>
    <row r="41" spans="1:15" x14ac:dyDescent="0.2">
      <c r="A41" s="141" t="s">
        <v>1065</v>
      </c>
      <c r="B41" s="142"/>
      <c r="C41" s="142"/>
      <c r="D41" s="142"/>
      <c r="E41" s="142"/>
      <c r="F41" s="142"/>
      <c r="G41" s="142"/>
      <c r="H41" s="143"/>
      <c r="I41" s="146">
        <v>250000</v>
      </c>
      <c r="J41" s="147"/>
    </row>
    <row r="42" spans="1:15" x14ac:dyDescent="0.2">
      <c r="A42" s="187" t="s">
        <v>1232</v>
      </c>
      <c r="B42" s="188"/>
      <c r="C42" s="188"/>
      <c r="D42" s="188"/>
      <c r="E42" s="188"/>
      <c r="F42" s="188"/>
      <c r="G42" s="188"/>
      <c r="H42" s="189"/>
      <c r="I42" s="190">
        <v>-124233.61</v>
      </c>
      <c r="J42" s="191"/>
    </row>
    <row r="43" spans="1:15" x14ac:dyDescent="0.2">
      <c r="A43" s="187" t="s">
        <v>1317</v>
      </c>
      <c r="B43" s="188"/>
      <c r="C43" s="188"/>
      <c r="D43" s="188"/>
      <c r="E43" s="188"/>
      <c r="F43" s="188"/>
      <c r="G43" s="188"/>
      <c r="H43" s="189"/>
      <c r="I43" s="190">
        <v>-49279.58</v>
      </c>
      <c r="J43" s="191"/>
    </row>
    <row r="44" spans="1:15" x14ac:dyDescent="0.2">
      <c r="A44" s="141" t="s">
        <v>1275</v>
      </c>
      <c r="B44" s="142"/>
      <c r="C44" s="142"/>
      <c r="D44" s="142"/>
      <c r="E44" s="142"/>
      <c r="F44" s="142"/>
      <c r="G44" s="142"/>
      <c r="H44" s="143"/>
      <c r="I44" s="146">
        <v>-236363.64</v>
      </c>
      <c r="J44" s="147"/>
    </row>
    <row r="45" spans="1:15" x14ac:dyDescent="0.2">
      <c r="A45" s="141" t="s">
        <v>1485</v>
      </c>
      <c r="B45" s="142"/>
      <c r="C45" s="142"/>
      <c r="D45" s="142"/>
      <c r="E45" s="142"/>
      <c r="F45" s="142"/>
      <c r="G45" s="142"/>
      <c r="H45" s="143"/>
      <c r="I45" s="146">
        <v>330000</v>
      </c>
      <c r="J45" s="147"/>
    </row>
    <row r="46" spans="1:15" x14ac:dyDescent="0.2">
      <c r="A46" s="187" t="s">
        <v>1518</v>
      </c>
      <c r="B46" s="188"/>
      <c r="C46" s="188"/>
      <c r="D46" s="188"/>
      <c r="E46" s="188"/>
      <c r="F46" s="188"/>
      <c r="G46" s="188"/>
      <c r="H46" s="189"/>
      <c r="I46" s="190">
        <v>-199752.88</v>
      </c>
      <c r="J46" s="191"/>
    </row>
    <row r="47" spans="1:15" x14ac:dyDescent="0.2">
      <c r="A47" s="141"/>
      <c r="B47" s="142"/>
      <c r="C47" s="142"/>
      <c r="D47" s="142"/>
      <c r="E47" s="142"/>
      <c r="F47" s="142"/>
      <c r="G47" s="142"/>
      <c r="H47" s="143"/>
      <c r="I47" s="146"/>
      <c r="J47" s="147"/>
    </row>
    <row r="48" spans="1:15" x14ac:dyDescent="0.2">
      <c r="A48" s="141"/>
      <c r="B48" s="142"/>
      <c r="C48" s="142"/>
      <c r="D48" s="142"/>
      <c r="E48" s="142"/>
      <c r="F48" s="142"/>
      <c r="G48" s="142"/>
      <c r="H48" s="143"/>
      <c r="I48" s="146"/>
      <c r="J48" s="147"/>
    </row>
    <row r="49" spans="1:10" ht="13.5" thickBot="1" x14ac:dyDescent="0.25">
      <c r="A49" s="144" t="s">
        <v>50</v>
      </c>
      <c r="B49" s="144"/>
      <c r="C49" s="144"/>
      <c r="D49" s="144"/>
      <c r="E49" s="144"/>
      <c r="F49" s="144"/>
      <c r="G49" s="144"/>
      <c r="H49" s="144"/>
      <c r="I49" s="145">
        <f>I30</f>
        <v>1397907.8200000003</v>
      </c>
      <c r="J49" s="145"/>
    </row>
    <row r="50" spans="1:10" ht="13.5" thickTop="1" x14ac:dyDescent="0.2">
      <c r="H50" s="18" t="s">
        <v>33</v>
      </c>
      <c r="I50" s="129">
        <f>SUM(I33:J48)-I49</f>
        <v>1.9999993965029716E-3</v>
      </c>
      <c r="J50" s="130"/>
    </row>
    <row r="52" spans="1:10" ht="15" x14ac:dyDescent="0.25">
      <c r="A52" s="131" t="s">
        <v>51</v>
      </c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</row>
    <row r="54" spans="1:10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</row>
    <row r="55" spans="1:10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</row>
    <row r="56" spans="1:10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</row>
    <row r="57" spans="1:10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</row>
  </sheetData>
  <mergeCells count="118">
    <mergeCell ref="B27:C27"/>
    <mergeCell ref="E27:F27"/>
    <mergeCell ref="G27:H27"/>
    <mergeCell ref="I27:J27"/>
    <mergeCell ref="B28:C28"/>
    <mergeCell ref="E28:F28"/>
    <mergeCell ref="G28:H28"/>
    <mergeCell ref="I28:J28"/>
    <mergeCell ref="B26:C26"/>
    <mergeCell ref="E26:F26"/>
    <mergeCell ref="G26:H26"/>
    <mergeCell ref="I45:J45"/>
    <mergeCell ref="I43:J43"/>
    <mergeCell ref="A36:H36"/>
    <mergeCell ref="I36:J36"/>
    <mergeCell ref="A38:H38"/>
    <mergeCell ref="A44:H44"/>
    <mergeCell ref="I30:J30"/>
    <mergeCell ref="I32:J32"/>
    <mergeCell ref="A33:H33"/>
    <mergeCell ref="I33:J33"/>
    <mergeCell ref="I40:J40"/>
    <mergeCell ref="I38:J38"/>
    <mergeCell ref="I42:J42"/>
    <mergeCell ref="A34:H34"/>
    <mergeCell ref="I34:J34"/>
    <mergeCell ref="B29:C29"/>
    <mergeCell ref="E29:F29"/>
    <mergeCell ref="G29:H29"/>
    <mergeCell ref="I26:J26"/>
    <mergeCell ref="G22:H22"/>
    <mergeCell ref="G19:H19"/>
    <mergeCell ref="G21:H21"/>
    <mergeCell ref="G20:H20"/>
    <mergeCell ref="I20:J20"/>
    <mergeCell ref="I22:J22"/>
    <mergeCell ref="I19:J19"/>
    <mergeCell ref="I29:J29"/>
    <mergeCell ref="I24:J24"/>
    <mergeCell ref="I25:J25"/>
    <mergeCell ref="B24:C24"/>
    <mergeCell ref="E24:F24"/>
    <mergeCell ref="G24:H24"/>
    <mergeCell ref="B25:C25"/>
    <mergeCell ref="E25:F25"/>
    <mergeCell ref="G25:H25"/>
    <mergeCell ref="E22:F22"/>
    <mergeCell ref="B20:C20"/>
    <mergeCell ref="B21:C21"/>
    <mergeCell ref="E21:F21"/>
    <mergeCell ref="B23:C23"/>
    <mergeCell ref="E23:F23"/>
    <mergeCell ref="G23:H23"/>
    <mergeCell ref="D8:E8"/>
    <mergeCell ref="F8:H8"/>
    <mergeCell ref="I21:J21"/>
    <mergeCell ref="B19:C19"/>
    <mergeCell ref="B15:C16"/>
    <mergeCell ref="I23:J23"/>
    <mergeCell ref="E20:F20"/>
    <mergeCell ref="E19:F19"/>
    <mergeCell ref="B22:C22"/>
    <mergeCell ref="G18:H18"/>
    <mergeCell ref="I18:J18"/>
    <mergeCell ref="B18:C18"/>
    <mergeCell ref="E15:F16"/>
    <mergeCell ref="G15:H16"/>
    <mergeCell ref="I15:J16"/>
    <mergeCell ref="G17:H17"/>
    <mergeCell ref="D15:D16"/>
    <mergeCell ref="A53:J58"/>
    <mergeCell ref="A35:H35"/>
    <mergeCell ref="I35:J35"/>
    <mergeCell ref="A49:H49"/>
    <mergeCell ref="I49:J49"/>
    <mergeCell ref="A52:J52"/>
    <mergeCell ref="A39:H39"/>
    <mergeCell ref="I39:J39"/>
    <mergeCell ref="A37:H37"/>
    <mergeCell ref="I37:J37"/>
    <mergeCell ref="A40:H40"/>
    <mergeCell ref="I41:J41"/>
    <mergeCell ref="A41:H41"/>
    <mergeCell ref="A43:H43"/>
    <mergeCell ref="I48:J48"/>
    <mergeCell ref="I50:J50"/>
    <mergeCell ref="A42:H42"/>
    <mergeCell ref="A48:H48"/>
    <mergeCell ref="A45:H45"/>
    <mergeCell ref="I44:J44"/>
    <mergeCell ref="A46:H46"/>
    <mergeCell ref="I46:J46"/>
    <mergeCell ref="A47:H47"/>
    <mergeCell ref="I47:J47"/>
    <mergeCell ref="G1:H1"/>
    <mergeCell ref="A3:J3"/>
    <mergeCell ref="A4:A5"/>
    <mergeCell ref="B4:C4"/>
    <mergeCell ref="D4:E5"/>
    <mergeCell ref="F4:H5"/>
    <mergeCell ref="I4:I5"/>
    <mergeCell ref="J4:J5"/>
    <mergeCell ref="E18:F18"/>
    <mergeCell ref="B17:C17"/>
    <mergeCell ref="E17:F17"/>
    <mergeCell ref="I17:J17"/>
    <mergeCell ref="D9:E9"/>
    <mergeCell ref="F9:H9"/>
    <mergeCell ref="D10:E10"/>
    <mergeCell ref="F10:H10"/>
    <mergeCell ref="A15:A16"/>
    <mergeCell ref="D6:E6"/>
    <mergeCell ref="F6:H6"/>
    <mergeCell ref="D7:E7"/>
    <mergeCell ref="F7:H7"/>
    <mergeCell ref="D11:E11"/>
    <mergeCell ref="F11:H11"/>
    <mergeCell ref="A14:J14"/>
  </mergeCells>
  <phoneticPr fontId="6" type="noConversion"/>
  <pageMargins left="0.75" right="0.75" top="1" bottom="1" header="0.5" footer="0.5"/>
  <pageSetup scale="93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42"/>
  <sheetViews>
    <sheetView workbookViewId="0">
      <selection activeCell="I22" sqref="I22:J22"/>
    </sheetView>
  </sheetViews>
  <sheetFormatPr defaultRowHeight="12.75" x14ac:dyDescent="0.2"/>
  <cols>
    <col min="9" max="9" width="12.140625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1267</v>
      </c>
      <c r="B2" s="6"/>
      <c r="C2" s="6"/>
      <c r="D2" s="6"/>
      <c r="E2" s="6"/>
      <c r="F2" s="6"/>
      <c r="G2" s="6"/>
      <c r="H2" s="6"/>
      <c r="I2" s="6"/>
      <c r="J2" s="59" t="s">
        <v>53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61" t="s">
        <v>821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69"/>
    </row>
    <row r="6" spans="1:10" x14ac:dyDescent="0.2">
      <c r="A6" s="9">
        <v>1</v>
      </c>
      <c r="B6" s="128">
        <v>2230577</v>
      </c>
      <c r="C6" s="128"/>
      <c r="D6" s="128">
        <v>2230578</v>
      </c>
      <c r="E6" s="128"/>
      <c r="F6" s="12">
        <v>43132</v>
      </c>
      <c r="G6" s="169"/>
      <c r="H6" s="169"/>
      <c r="I6" s="69">
        <v>376147.25</v>
      </c>
      <c r="J6" s="64">
        <f>I6*0.8</f>
        <v>300917.8</v>
      </c>
    </row>
    <row r="7" spans="1:10" x14ac:dyDescent="0.2">
      <c r="A7" s="9">
        <v>2</v>
      </c>
      <c r="B7" s="128">
        <v>2230925</v>
      </c>
      <c r="C7" s="128"/>
      <c r="D7" s="128">
        <v>2232278</v>
      </c>
      <c r="E7" s="128"/>
      <c r="F7" s="12">
        <v>43132</v>
      </c>
      <c r="G7" s="169"/>
      <c r="H7" s="169"/>
      <c r="I7" s="69">
        <v>452578</v>
      </c>
      <c r="J7" s="64">
        <f>I7*0.8</f>
        <v>362062.4</v>
      </c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69"/>
      <c r="J8" s="64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69"/>
      <c r="J9" s="64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69"/>
      <c r="J10" s="64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69"/>
      <c r="J11" s="64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69"/>
      <c r="J12" s="64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71"/>
      <c r="J13" s="89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81">
        <f>SUM(I6:I13)</f>
        <v>828725.25</v>
      </c>
      <c r="J14" s="90">
        <f>SUM(J6:J13)</f>
        <v>662980.19999999995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9">
        <v>1</v>
      </c>
      <c r="B19" s="225"/>
      <c r="C19" s="137"/>
      <c r="D19" s="19">
        <v>96885</v>
      </c>
      <c r="E19" s="196"/>
      <c r="F19" s="137"/>
      <c r="G19" s="225" t="s">
        <v>1268</v>
      </c>
      <c r="H19" s="137"/>
      <c r="I19" s="138">
        <v>251368</v>
      </c>
      <c r="J19" s="138"/>
    </row>
    <row r="20" spans="1:10" x14ac:dyDescent="0.2">
      <c r="A20" s="58">
        <v>2</v>
      </c>
      <c r="B20" s="259"/>
      <c r="C20" s="151"/>
      <c r="D20" s="58">
        <v>115725</v>
      </c>
      <c r="E20" s="260"/>
      <c r="F20" s="151"/>
      <c r="G20" s="259" t="s">
        <v>1482</v>
      </c>
      <c r="H20" s="151"/>
      <c r="I20" s="152">
        <v>135310.6</v>
      </c>
      <c r="J20" s="152"/>
    </row>
    <row r="21" spans="1:10" x14ac:dyDescent="0.2">
      <c r="A21" s="58"/>
      <c r="B21" s="259"/>
      <c r="C21" s="151"/>
      <c r="D21" s="58"/>
      <c r="E21" s="260"/>
      <c r="F21" s="151"/>
      <c r="G21" s="151"/>
      <c r="H21" s="151"/>
      <c r="I21" s="152"/>
      <c r="J21" s="152"/>
    </row>
    <row r="22" spans="1:10" x14ac:dyDescent="0.2">
      <c r="A22" s="19"/>
      <c r="B22" s="137"/>
      <c r="C22" s="137"/>
      <c r="D22" s="19"/>
      <c r="E22" s="137"/>
      <c r="F22" s="137"/>
      <c r="G22" s="137"/>
      <c r="H22" s="137"/>
      <c r="I22" s="138"/>
      <c r="J22" s="138"/>
    </row>
    <row r="23" spans="1:10" x14ac:dyDescent="0.2">
      <c r="A23" s="9"/>
      <c r="B23" s="128"/>
      <c r="C23" s="128"/>
      <c r="D23" s="9"/>
      <c r="E23" s="128"/>
      <c r="F23" s="128"/>
      <c r="G23" s="128"/>
      <c r="H23" s="128"/>
      <c r="I23" s="136"/>
      <c r="J23" s="136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136"/>
      <c r="J24" s="136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386678.6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662980.20000000007</v>
      </c>
      <c r="J31" s="148"/>
    </row>
    <row r="32" spans="1:10" x14ac:dyDescent="0.2">
      <c r="A32" s="134" t="s">
        <v>1607</v>
      </c>
      <c r="B32" s="134"/>
      <c r="C32" s="134"/>
      <c r="D32" s="134"/>
      <c r="E32" s="134"/>
      <c r="F32" s="134"/>
      <c r="G32" s="134"/>
      <c r="H32" s="134"/>
      <c r="I32" s="135">
        <v>-276301.59999999998</v>
      </c>
      <c r="J32" s="135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145">
        <f>I28</f>
        <v>386678.6</v>
      </c>
      <c r="J33" s="145"/>
    </row>
    <row r="34" spans="1:10" ht="13.5" thickTop="1" x14ac:dyDescent="0.2">
      <c r="H34" s="18" t="s">
        <v>33</v>
      </c>
      <c r="I34" s="129">
        <f>I31+I32-I33</f>
        <v>0</v>
      </c>
      <c r="J34" s="130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87">
    <mergeCell ref="I34:J34"/>
    <mergeCell ref="A36:J36"/>
    <mergeCell ref="A37:J42"/>
    <mergeCell ref="A31:H31"/>
    <mergeCell ref="I31:J31"/>
    <mergeCell ref="A32:H32"/>
    <mergeCell ref="I32:J32"/>
    <mergeCell ref="A33:H33"/>
    <mergeCell ref="I33:J33"/>
    <mergeCell ref="I30:J30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I28:J28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>
    <pageSetUpPr fitToPage="1"/>
  </sheetPr>
  <dimension ref="A1:J52"/>
  <sheetViews>
    <sheetView workbookViewId="0">
      <selection activeCell="J14" sqref="J14"/>
    </sheetView>
  </sheetViews>
  <sheetFormatPr defaultRowHeight="12.75" x14ac:dyDescent="0.2"/>
  <cols>
    <col min="6" max="6" width="10.28515625" customWidth="1"/>
    <col min="8" max="8" width="13.85546875" customWidth="1"/>
    <col min="9" max="9" width="12.42578125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330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90" t="s">
        <v>821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233"/>
    </row>
    <row r="6" spans="1:10" x14ac:dyDescent="0.2">
      <c r="A6" s="9">
        <v>1</v>
      </c>
      <c r="B6" s="128">
        <v>2330296</v>
      </c>
      <c r="C6" s="128"/>
      <c r="D6" s="128">
        <v>2330342</v>
      </c>
      <c r="E6" s="128"/>
      <c r="F6" s="12">
        <v>33388</v>
      </c>
      <c r="G6" s="169" t="s">
        <v>331</v>
      </c>
      <c r="H6" s="169"/>
      <c r="I6" s="39">
        <v>75102.5</v>
      </c>
      <c r="J6" s="32">
        <f t="shared" ref="J6:J14" si="0">I6*0.8</f>
        <v>60082</v>
      </c>
    </row>
    <row r="7" spans="1:10" x14ac:dyDescent="0.2">
      <c r="A7" s="9">
        <v>2</v>
      </c>
      <c r="B7" s="128">
        <v>2330482</v>
      </c>
      <c r="C7" s="128"/>
      <c r="D7" s="128">
        <v>2330911</v>
      </c>
      <c r="E7" s="128"/>
      <c r="F7" s="12">
        <v>33701</v>
      </c>
      <c r="G7" s="169" t="s">
        <v>332</v>
      </c>
      <c r="H7" s="169"/>
      <c r="I7" s="39">
        <v>120491.66</v>
      </c>
      <c r="J7" s="32">
        <f t="shared" si="0"/>
        <v>96393.328000000009</v>
      </c>
    </row>
    <row r="8" spans="1:10" x14ac:dyDescent="0.2">
      <c r="A8" s="9">
        <v>3</v>
      </c>
      <c r="B8" s="128">
        <v>2339374</v>
      </c>
      <c r="C8" s="128"/>
      <c r="D8" s="128">
        <v>2339390</v>
      </c>
      <c r="E8" s="128"/>
      <c r="F8" s="12">
        <v>34779</v>
      </c>
      <c r="G8" s="169" t="s">
        <v>333</v>
      </c>
      <c r="H8" s="169"/>
      <c r="I8" s="39">
        <v>114767.17</v>
      </c>
      <c r="J8" s="32">
        <f t="shared" si="0"/>
        <v>91813.736000000004</v>
      </c>
    </row>
    <row r="9" spans="1:10" x14ac:dyDescent="0.2">
      <c r="A9" s="9">
        <v>4</v>
      </c>
      <c r="B9" s="128">
        <v>2333090</v>
      </c>
      <c r="C9" s="128"/>
      <c r="D9" s="128"/>
      <c r="E9" s="128"/>
      <c r="F9" s="12">
        <v>35081</v>
      </c>
      <c r="G9" s="169" t="s">
        <v>334</v>
      </c>
      <c r="H9" s="169"/>
      <c r="I9" s="39">
        <v>63174.5</v>
      </c>
      <c r="J9" s="32">
        <f t="shared" si="0"/>
        <v>50539.600000000006</v>
      </c>
    </row>
    <row r="10" spans="1:10" x14ac:dyDescent="0.2">
      <c r="A10" s="9">
        <v>5</v>
      </c>
      <c r="B10" s="128">
        <v>2330210</v>
      </c>
      <c r="C10" s="128"/>
      <c r="D10" s="128">
        <v>2331861</v>
      </c>
      <c r="E10" s="128"/>
      <c r="F10" s="12">
        <v>40554</v>
      </c>
      <c r="G10" s="169"/>
      <c r="H10" s="169"/>
      <c r="I10" s="39">
        <v>611378.39</v>
      </c>
      <c r="J10" s="32">
        <f t="shared" si="0"/>
        <v>489102.71200000006</v>
      </c>
    </row>
    <row r="11" spans="1:10" x14ac:dyDescent="0.2">
      <c r="A11" s="9">
        <v>6</v>
      </c>
      <c r="B11" s="128">
        <v>2330377</v>
      </c>
      <c r="C11" s="128"/>
      <c r="D11" s="137" t="s">
        <v>1182</v>
      </c>
      <c r="E11" s="128"/>
      <c r="F11" s="12">
        <v>43446</v>
      </c>
      <c r="G11" s="169"/>
      <c r="H11" s="169"/>
      <c r="I11" s="39">
        <v>137667</v>
      </c>
      <c r="J11" s="32">
        <f t="shared" si="0"/>
        <v>110133.6</v>
      </c>
    </row>
    <row r="12" spans="1:10" x14ac:dyDescent="0.2">
      <c r="A12" s="9">
        <v>7</v>
      </c>
      <c r="B12" s="128">
        <v>23335271</v>
      </c>
      <c r="C12" s="128"/>
      <c r="D12" s="230" t="s">
        <v>1182</v>
      </c>
      <c r="E12" s="128"/>
      <c r="F12" s="12">
        <v>43525</v>
      </c>
      <c r="G12" s="169"/>
      <c r="H12" s="169"/>
      <c r="I12" s="39">
        <v>262738.5</v>
      </c>
      <c r="J12" s="32">
        <f t="shared" si="0"/>
        <v>210190.80000000002</v>
      </c>
    </row>
    <row r="13" spans="1:10" x14ac:dyDescent="0.2">
      <c r="A13" s="9">
        <v>8</v>
      </c>
      <c r="B13" s="128">
        <v>2336650</v>
      </c>
      <c r="C13" s="128"/>
      <c r="D13" s="128">
        <v>2336651</v>
      </c>
      <c r="E13" s="128"/>
      <c r="F13" s="12">
        <v>43698</v>
      </c>
      <c r="G13" s="169"/>
      <c r="H13" s="169"/>
      <c r="I13" s="39">
        <v>366220.18</v>
      </c>
      <c r="J13" s="32">
        <f t="shared" si="0"/>
        <v>292976.14400000003</v>
      </c>
    </row>
    <row r="14" spans="1:10" x14ac:dyDescent="0.2">
      <c r="A14" s="9">
        <v>9</v>
      </c>
      <c r="B14" s="128">
        <v>2338130</v>
      </c>
      <c r="C14" s="128"/>
      <c r="D14" s="128">
        <v>2338131</v>
      </c>
      <c r="E14" s="128"/>
      <c r="F14" s="12">
        <v>45161</v>
      </c>
      <c r="G14" s="169"/>
      <c r="H14" s="169"/>
      <c r="I14" s="39">
        <v>371644.23</v>
      </c>
      <c r="J14" s="32">
        <f t="shared" si="0"/>
        <v>297315.38400000002</v>
      </c>
    </row>
    <row r="15" spans="1:10" ht="13.5" thickBot="1" x14ac:dyDescent="0.25">
      <c r="A15" s="9"/>
      <c r="B15" s="128"/>
      <c r="C15" s="128"/>
      <c r="D15" s="128"/>
      <c r="E15" s="128"/>
      <c r="F15" s="12"/>
      <c r="G15" s="169"/>
      <c r="H15" s="169"/>
      <c r="I15" s="41"/>
      <c r="J15" s="55"/>
    </row>
    <row r="16" spans="1:10" ht="13.5" thickTop="1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43">
        <f>SUM(I6:I15)</f>
        <v>2123184.13</v>
      </c>
      <c r="J16" s="43">
        <f>SUM(J6:J15)</f>
        <v>1698547.3040000002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1" t="s">
        <v>34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x14ac:dyDescent="0.2">
      <c r="A19" s="169" t="s">
        <v>23</v>
      </c>
      <c r="B19" s="169" t="s">
        <v>35</v>
      </c>
      <c r="C19" s="169"/>
      <c r="D19" s="169" t="s">
        <v>36</v>
      </c>
      <c r="E19" s="169" t="s">
        <v>37</v>
      </c>
      <c r="F19" s="169"/>
      <c r="G19" s="169" t="s">
        <v>38</v>
      </c>
      <c r="H19" s="169"/>
      <c r="I19" s="169" t="s">
        <v>39</v>
      </c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9">
        <v>1</v>
      </c>
      <c r="B21" s="183" t="s">
        <v>335</v>
      </c>
      <c r="C21" s="128"/>
      <c r="D21" s="10">
        <v>5593</v>
      </c>
      <c r="E21" s="182">
        <v>35181</v>
      </c>
      <c r="F21" s="128"/>
      <c r="G21" s="128">
        <v>2311002</v>
      </c>
      <c r="H21" s="128"/>
      <c r="I21" s="291">
        <v>102900</v>
      </c>
      <c r="J21" s="291"/>
    </row>
    <row r="22" spans="1:10" x14ac:dyDescent="0.2">
      <c r="A22" s="9">
        <v>2</v>
      </c>
      <c r="B22" s="183" t="s">
        <v>336</v>
      </c>
      <c r="C22" s="128"/>
      <c r="D22" s="10" t="s">
        <v>337</v>
      </c>
      <c r="E22" s="182">
        <v>34851</v>
      </c>
      <c r="F22" s="128"/>
      <c r="G22" s="128" t="s">
        <v>338</v>
      </c>
      <c r="H22" s="128"/>
      <c r="I22" s="291">
        <v>70234</v>
      </c>
      <c r="J22" s="291"/>
    </row>
    <row r="23" spans="1:10" x14ac:dyDescent="0.2">
      <c r="A23" s="19">
        <v>3</v>
      </c>
      <c r="B23" s="137"/>
      <c r="C23" s="137"/>
      <c r="D23" s="19">
        <v>80761</v>
      </c>
      <c r="E23" s="196">
        <v>42070</v>
      </c>
      <c r="F23" s="137"/>
      <c r="G23" s="137" t="s">
        <v>921</v>
      </c>
      <c r="H23" s="137"/>
      <c r="I23" s="289">
        <v>91534.55</v>
      </c>
      <c r="J23" s="289"/>
    </row>
    <row r="24" spans="1:10" x14ac:dyDescent="0.2">
      <c r="A24" s="19">
        <v>4</v>
      </c>
      <c r="B24" s="137"/>
      <c r="C24" s="137"/>
      <c r="D24" s="19">
        <v>82213</v>
      </c>
      <c r="E24" s="196">
        <v>42366</v>
      </c>
      <c r="F24" s="137"/>
      <c r="G24" s="137" t="s">
        <v>922</v>
      </c>
      <c r="H24" s="137"/>
      <c r="I24" s="289">
        <v>49419.9</v>
      </c>
      <c r="J24" s="289"/>
    </row>
    <row r="25" spans="1:10" x14ac:dyDescent="0.2">
      <c r="A25" s="19">
        <v>5</v>
      </c>
      <c r="B25" s="137"/>
      <c r="C25" s="137"/>
      <c r="D25" s="19">
        <v>83299</v>
      </c>
      <c r="E25" s="196">
        <v>43185</v>
      </c>
      <c r="F25" s="137"/>
      <c r="G25" s="137" t="s">
        <v>923</v>
      </c>
      <c r="H25" s="137"/>
      <c r="I25" s="289">
        <v>108288.01</v>
      </c>
      <c r="J25" s="289"/>
    </row>
    <row r="26" spans="1:10" x14ac:dyDescent="0.2">
      <c r="A26" s="19">
        <v>6</v>
      </c>
      <c r="B26" s="137">
        <v>457313</v>
      </c>
      <c r="C26" s="137"/>
      <c r="D26" s="19">
        <v>84881</v>
      </c>
      <c r="E26" s="196">
        <v>43451</v>
      </c>
      <c r="F26" s="137"/>
      <c r="G26" s="137" t="s">
        <v>924</v>
      </c>
      <c r="H26" s="137"/>
      <c r="I26" s="289">
        <v>92461.92</v>
      </c>
      <c r="J26" s="289"/>
    </row>
    <row r="27" spans="1:10" x14ac:dyDescent="0.2">
      <c r="A27" s="19">
        <v>7</v>
      </c>
      <c r="B27" s="137"/>
      <c r="C27" s="137"/>
      <c r="D27" s="19">
        <v>84882</v>
      </c>
      <c r="E27" s="196">
        <v>43327</v>
      </c>
      <c r="F27" s="137"/>
      <c r="G27" s="137" t="s">
        <v>925</v>
      </c>
      <c r="H27" s="137"/>
      <c r="I27" s="289">
        <v>89584.52</v>
      </c>
      <c r="J27" s="289"/>
    </row>
    <row r="28" spans="1:10" x14ac:dyDescent="0.2">
      <c r="A28" s="19">
        <v>8</v>
      </c>
      <c r="B28" s="137"/>
      <c r="C28" s="137"/>
      <c r="D28" s="19">
        <v>98748</v>
      </c>
      <c r="E28" s="196">
        <v>44125</v>
      </c>
      <c r="F28" s="137"/>
      <c r="G28" s="137" t="s">
        <v>1122</v>
      </c>
      <c r="H28" s="137"/>
      <c r="I28" s="289">
        <v>147880.17000000001</v>
      </c>
      <c r="J28" s="289"/>
    </row>
    <row r="29" spans="1:10" x14ac:dyDescent="0.2">
      <c r="A29" s="58"/>
      <c r="B29" s="151"/>
      <c r="C29" s="151"/>
      <c r="D29" s="58">
        <v>117326</v>
      </c>
      <c r="E29" s="260"/>
      <c r="F29" s="151"/>
      <c r="G29" s="151" t="s">
        <v>1565</v>
      </c>
      <c r="H29" s="151"/>
      <c r="I29" s="296">
        <v>75280</v>
      </c>
      <c r="J29" s="296"/>
    </row>
    <row r="30" spans="1:10" x14ac:dyDescent="0.2">
      <c r="A30" s="82">
        <v>11</v>
      </c>
      <c r="B30" s="198"/>
      <c r="C30" s="198"/>
      <c r="D30" s="82">
        <v>113793</v>
      </c>
      <c r="E30" s="198"/>
      <c r="F30" s="198"/>
      <c r="G30" s="198" t="s">
        <v>1413</v>
      </c>
      <c r="H30" s="198"/>
      <c r="I30" s="292">
        <v>56563.76</v>
      </c>
      <c r="J30" s="292"/>
    </row>
    <row r="31" spans="1:10" x14ac:dyDescent="0.2">
      <c r="A31" s="19"/>
      <c r="B31" s="137"/>
      <c r="C31" s="137"/>
      <c r="D31" s="19"/>
      <c r="E31" s="137"/>
      <c r="F31" s="137"/>
      <c r="G31" s="137"/>
      <c r="H31" s="137"/>
      <c r="I31" s="289"/>
      <c r="J31" s="289"/>
    </row>
    <row r="32" spans="1:10" ht="13.5" thickBot="1" x14ac:dyDescent="0.25">
      <c r="A32" s="9"/>
      <c r="B32" s="128"/>
      <c r="C32" s="128"/>
      <c r="D32" s="9"/>
      <c r="E32" s="128"/>
      <c r="F32" s="128"/>
      <c r="G32" s="128"/>
      <c r="H32" s="128"/>
      <c r="I32" s="297"/>
      <c r="J32" s="297"/>
    </row>
    <row r="33" spans="1:10" ht="13.5" thickTop="1" x14ac:dyDescent="0.2">
      <c r="A33" s="13"/>
      <c r="B33" s="13"/>
      <c r="C33" s="13"/>
      <c r="D33" s="13"/>
      <c r="E33" s="13"/>
      <c r="F33" s="13"/>
      <c r="G33" s="13"/>
      <c r="H33" s="13" t="s">
        <v>33</v>
      </c>
      <c r="I33" s="293">
        <f>SUM(I21:J32)</f>
        <v>884146.83000000007</v>
      </c>
      <c r="J33" s="293"/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76"/>
      <c r="J34" s="76"/>
    </row>
    <row r="35" spans="1:10" ht="15" x14ac:dyDescent="0.25">
      <c r="A35" s="15" t="s">
        <v>46</v>
      </c>
      <c r="B35" s="16"/>
      <c r="C35" s="16"/>
      <c r="D35" s="16"/>
      <c r="E35" s="16"/>
      <c r="F35" s="16"/>
      <c r="G35" s="16"/>
      <c r="H35" s="16"/>
      <c r="I35" s="294" t="s">
        <v>47</v>
      </c>
      <c r="J35" s="295"/>
    </row>
    <row r="36" spans="1:10" x14ac:dyDescent="0.2">
      <c r="A36" s="144" t="s">
        <v>48</v>
      </c>
      <c r="B36" s="144"/>
      <c r="C36" s="144"/>
      <c r="D36" s="144"/>
      <c r="E36" s="144"/>
      <c r="F36" s="144"/>
      <c r="G36" s="144"/>
      <c r="H36" s="144"/>
      <c r="I36" s="148">
        <f>I16*80%</f>
        <v>1698547.304</v>
      </c>
      <c r="J36" s="148"/>
    </row>
    <row r="37" spans="1:10" x14ac:dyDescent="0.2">
      <c r="A37" s="144" t="s">
        <v>49</v>
      </c>
      <c r="B37" s="144"/>
      <c r="C37" s="144"/>
      <c r="D37" s="144"/>
      <c r="E37" s="144"/>
      <c r="F37" s="144"/>
      <c r="G37" s="144"/>
      <c r="H37" s="144"/>
      <c r="I37" s="184">
        <v>-125695</v>
      </c>
      <c r="J37" s="184"/>
    </row>
    <row r="38" spans="1:10" x14ac:dyDescent="0.2">
      <c r="A38" s="231" t="s">
        <v>1278</v>
      </c>
      <c r="B38" s="144"/>
      <c r="C38" s="144"/>
      <c r="D38" s="144"/>
      <c r="E38" s="144"/>
      <c r="F38" s="144"/>
      <c r="G38" s="144"/>
      <c r="H38" s="144"/>
      <c r="I38" s="184">
        <v>133315</v>
      </c>
      <c r="J38" s="184"/>
    </row>
    <row r="39" spans="1:10" x14ac:dyDescent="0.2">
      <c r="A39" s="231" t="s">
        <v>1319</v>
      </c>
      <c r="B39" s="144"/>
      <c r="C39" s="144"/>
      <c r="D39" s="144"/>
      <c r="E39" s="144"/>
      <c r="F39" s="144"/>
      <c r="G39" s="144"/>
      <c r="H39" s="144"/>
      <c r="I39" s="184">
        <v>-133315</v>
      </c>
      <c r="J39" s="184"/>
    </row>
    <row r="40" spans="1:10" x14ac:dyDescent="0.2">
      <c r="A40" s="134" t="s">
        <v>1427</v>
      </c>
      <c r="B40" s="134"/>
      <c r="C40" s="134"/>
      <c r="D40" s="134"/>
      <c r="E40" s="134"/>
      <c r="F40" s="134"/>
      <c r="G40" s="134"/>
      <c r="H40" s="134"/>
      <c r="I40" s="135">
        <v>-137801.57</v>
      </c>
      <c r="J40" s="135"/>
    </row>
    <row r="41" spans="1:10" x14ac:dyDescent="0.2">
      <c r="A41" s="134" t="s">
        <v>1515</v>
      </c>
      <c r="B41" s="134"/>
      <c r="C41" s="134"/>
      <c r="D41" s="134"/>
      <c r="E41" s="134"/>
      <c r="F41" s="134"/>
      <c r="G41" s="134"/>
      <c r="H41" s="134"/>
      <c r="I41" s="135">
        <v>-253588.52</v>
      </c>
      <c r="J41" s="135"/>
    </row>
    <row r="42" spans="1:10" x14ac:dyDescent="0.2">
      <c r="A42" s="231"/>
      <c r="B42" s="144"/>
      <c r="C42" s="144"/>
      <c r="D42" s="144"/>
      <c r="E42" s="144"/>
      <c r="F42" s="144"/>
      <c r="G42" s="144"/>
      <c r="H42" s="144"/>
      <c r="I42" s="184"/>
      <c r="J42" s="184"/>
    </row>
    <row r="43" spans="1:10" ht="13.5" thickBot="1" x14ac:dyDescent="0.25">
      <c r="A43" s="144" t="s">
        <v>50</v>
      </c>
      <c r="B43" s="144"/>
      <c r="C43" s="144"/>
      <c r="D43" s="144"/>
      <c r="E43" s="144"/>
      <c r="F43" s="144"/>
      <c r="G43" s="144"/>
      <c r="H43" s="144"/>
      <c r="I43" s="145">
        <f>I33</f>
        <v>884146.83000000007</v>
      </c>
      <c r="J43" s="145"/>
    </row>
    <row r="44" spans="1:10" ht="13.5" thickTop="1" x14ac:dyDescent="0.2">
      <c r="H44" s="18" t="s">
        <v>33</v>
      </c>
      <c r="I44" s="129">
        <f>I36+I37+I38+I39+I40+I41-I43</f>
        <v>297315.38399999985</v>
      </c>
      <c r="J44" s="130"/>
    </row>
    <row r="46" spans="1:10" ht="15" x14ac:dyDescent="0.25">
      <c r="A46" s="131" t="s">
        <v>51</v>
      </c>
      <c r="B46" s="132"/>
      <c r="C46" s="132"/>
      <c r="D46" s="132"/>
      <c r="E46" s="132"/>
      <c r="F46" s="132"/>
      <c r="G46" s="132"/>
      <c r="H46" s="132"/>
      <c r="I46" s="132"/>
      <c r="J46" s="133"/>
    </row>
    <row r="47" spans="1:10" x14ac:dyDescent="0.2">
      <c r="A47" s="139" t="s">
        <v>339</v>
      </c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  <row r="49" spans="1:10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ht="12.75" customHeight="1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</sheetData>
  <mergeCells count="115">
    <mergeCell ref="B29:C29"/>
    <mergeCell ref="E29:F29"/>
    <mergeCell ref="G29:H29"/>
    <mergeCell ref="I29:J29"/>
    <mergeCell ref="I32:J32"/>
    <mergeCell ref="B32:C32"/>
    <mergeCell ref="D12:E12"/>
    <mergeCell ref="G12:H12"/>
    <mergeCell ref="G28:H28"/>
    <mergeCell ref="I28:J28"/>
    <mergeCell ref="E27:F27"/>
    <mergeCell ref="G27:H27"/>
    <mergeCell ref="B31:C31"/>
    <mergeCell ref="E31:F31"/>
    <mergeCell ref="G31:H31"/>
    <mergeCell ref="E32:F32"/>
    <mergeCell ref="G32:H32"/>
    <mergeCell ref="I27:J27"/>
    <mergeCell ref="I31:J31"/>
    <mergeCell ref="B30:C30"/>
    <mergeCell ref="E30:F30"/>
    <mergeCell ref="B27:C27"/>
    <mergeCell ref="G30:H30"/>
    <mergeCell ref="B28:C28"/>
    <mergeCell ref="E28:F28"/>
    <mergeCell ref="I30:J30"/>
    <mergeCell ref="E25:F25"/>
    <mergeCell ref="G25:H25"/>
    <mergeCell ref="A47:J52"/>
    <mergeCell ref="A37:H37"/>
    <mergeCell ref="I37:J37"/>
    <mergeCell ref="A43:H43"/>
    <mergeCell ref="I43:J43"/>
    <mergeCell ref="I33:J33"/>
    <mergeCell ref="A40:H40"/>
    <mergeCell ref="I40:J40"/>
    <mergeCell ref="A42:H42"/>
    <mergeCell ref="I42:J42"/>
    <mergeCell ref="I44:J44"/>
    <mergeCell ref="A46:J46"/>
    <mergeCell ref="A38:H38"/>
    <mergeCell ref="I38:J38"/>
    <mergeCell ref="A39:H39"/>
    <mergeCell ref="I39:J39"/>
    <mergeCell ref="I35:J35"/>
    <mergeCell ref="A36:H36"/>
    <mergeCell ref="I36:J36"/>
    <mergeCell ref="A41:H41"/>
    <mergeCell ref="I41:J41"/>
    <mergeCell ref="I25:J25"/>
    <mergeCell ref="B26:C26"/>
    <mergeCell ref="E26:F26"/>
    <mergeCell ref="G26:H26"/>
    <mergeCell ref="I26:J26"/>
    <mergeCell ref="B25:C25"/>
    <mergeCell ref="A18:J18"/>
    <mergeCell ref="A19:A20"/>
    <mergeCell ref="B19:C20"/>
    <mergeCell ref="D19:D20"/>
    <mergeCell ref="E19:F20"/>
    <mergeCell ref="G19:H20"/>
    <mergeCell ref="I19:J20"/>
    <mergeCell ref="E23:F23"/>
    <mergeCell ref="G23:H23"/>
    <mergeCell ref="I23:J23"/>
    <mergeCell ref="B21:C21"/>
    <mergeCell ref="E21:F21"/>
    <mergeCell ref="G21:H21"/>
    <mergeCell ref="I21:J21"/>
    <mergeCell ref="B22:C22"/>
    <mergeCell ref="E22:F22"/>
    <mergeCell ref="G22:H22"/>
    <mergeCell ref="I22:J22"/>
    <mergeCell ref="G10:H10"/>
    <mergeCell ref="B11:C11"/>
    <mergeCell ref="D11:E11"/>
    <mergeCell ref="G11:H11"/>
    <mergeCell ref="B12:C12"/>
    <mergeCell ref="B9:C9"/>
    <mergeCell ref="D9:E9"/>
    <mergeCell ref="G9:H9"/>
    <mergeCell ref="B23:C23"/>
    <mergeCell ref="B15:C15"/>
    <mergeCell ref="D15:E15"/>
    <mergeCell ref="G15:H15"/>
    <mergeCell ref="B14:C14"/>
    <mergeCell ref="D14:E14"/>
    <mergeCell ref="G14:H14"/>
    <mergeCell ref="B13:C13"/>
    <mergeCell ref="D13:E13"/>
    <mergeCell ref="G13:H13"/>
    <mergeCell ref="B24:C24"/>
    <mergeCell ref="E24:F24"/>
    <mergeCell ref="G24:H24"/>
    <mergeCell ref="I24:J24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B10:C10"/>
    <mergeCell ref="D10:E10"/>
  </mergeCells>
  <phoneticPr fontId="6" type="noConversion"/>
  <pageMargins left="0.75" right="0.75" top="1" bottom="1" header="0.5" footer="0.5"/>
  <pageSetup scale="8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>
    <pageSetUpPr fitToPage="1"/>
  </sheetPr>
  <dimension ref="A1:J48"/>
  <sheetViews>
    <sheetView topLeftCell="A10" workbookViewId="0">
      <selection activeCell="I28" sqref="I28:J28"/>
    </sheetView>
  </sheetViews>
  <sheetFormatPr defaultRowHeight="12.75" x14ac:dyDescent="0.2"/>
  <cols>
    <col min="6" max="6" width="10" customWidth="1"/>
    <col min="9" max="9" width="11.140625" bestFit="1" customWidth="1"/>
    <col min="10" max="10" width="11.5703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3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69" t="s">
        <v>850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2430762</v>
      </c>
      <c r="C6" s="128"/>
      <c r="D6" s="128">
        <v>2433397</v>
      </c>
      <c r="E6" s="128"/>
      <c r="F6" s="12">
        <v>40218</v>
      </c>
      <c r="G6" s="169"/>
      <c r="H6" s="169"/>
      <c r="I6" s="32">
        <v>353399</v>
      </c>
      <c r="J6" s="32">
        <f>I6*0.8</f>
        <v>282719.2</v>
      </c>
    </row>
    <row r="7" spans="1:10" x14ac:dyDescent="0.2">
      <c r="A7" s="9">
        <v>2</v>
      </c>
      <c r="B7" s="128">
        <v>2735822</v>
      </c>
      <c r="C7" s="128"/>
      <c r="D7" s="128">
        <v>2430000</v>
      </c>
      <c r="E7" s="128"/>
      <c r="F7" s="12">
        <v>42233</v>
      </c>
      <c r="G7" s="169"/>
      <c r="H7" s="169"/>
      <c r="I7" s="32">
        <v>498865.9</v>
      </c>
      <c r="J7" s="32">
        <f>I7*0.8</f>
        <v>399092.72000000003</v>
      </c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2"/>
      <c r="J8" s="32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852264.9</v>
      </c>
      <c r="J14" s="33">
        <f>SUM(J6:J13)</f>
        <v>681811.92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/>
      <c r="C19" s="128"/>
      <c r="D19" s="10">
        <v>82355</v>
      </c>
      <c r="E19" s="182">
        <v>41065</v>
      </c>
      <c r="F19" s="128"/>
      <c r="G19" s="128"/>
      <c r="H19" s="128"/>
      <c r="I19" s="136">
        <v>84309.41</v>
      </c>
      <c r="J19" s="136"/>
    </row>
    <row r="20" spans="1:10" x14ac:dyDescent="0.2">
      <c r="A20" s="9">
        <v>2</v>
      </c>
      <c r="B20" s="183">
        <v>466059</v>
      </c>
      <c r="C20" s="128"/>
      <c r="D20" s="10">
        <v>80902</v>
      </c>
      <c r="E20" s="182">
        <v>41064</v>
      </c>
      <c r="F20" s="128"/>
      <c r="G20" s="128" t="s">
        <v>875</v>
      </c>
      <c r="H20" s="128"/>
      <c r="I20" s="136">
        <v>92383.66</v>
      </c>
      <c r="J20" s="136"/>
    </row>
    <row r="21" spans="1:10" x14ac:dyDescent="0.2">
      <c r="A21" s="19">
        <v>3</v>
      </c>
      <c r="B21" s="137"/>
      <c r="C21" s="137"/>
      <c r="D21" s="19">
        <v>83484</v>
      </c>
      <c r="E21" s="196">
        <v>42045</v>
      </c>
      <c r="F21" s="137"/>
      <c r="G21" s="137" t="s">
        <v>909</v>
      </c>
      <c r="H21" s="137"/>
      <c r="I21" s="138">
        <f>51143.26</f>
        <v>51143.26</v>
      </c>
      <c r="J21" s="138"/>
    </row>
    <row r="22" spans="1:10" x14ac:dyDescent="0.2">
      <c r="A22" s="9"/>
      <c r="B22" s="128"/>
      <c r="C22" s="128"/>
      <c r="D22" s="9">
        <v>87270</v>
      </c>
      <c r="E22" s="128" t="s">
        <v>864</v>
      </c>
      <c r="F22" s="128"/>
      <c r="G22" s="128"/>
      <c r="H22" s="128"/>
      <c r="I22" s="136">
        <v>15585.8</v>
      </c>
      <c r="J22" s="136"/>
    </row>
    <row r="23" spans="1:10" x14ac:dyDescent="0.2">
      <c r="A23" s="9"/>
      <c r="B23" s="128"/>
      <c r="C23" s="128"/>
      <c r="D23" s="9">
        <v>88870</v>
      </c>
      <c r="E23" s="128" t="s">
        <v>912</v>
      </c>
      <c r="F23" s="128"/>
      <c r="G23" s="128"/>
      <c r="H23" s="128"/>
      <c r="I23" s="136">
        <v>3741.6</v>
      </c>
      <c r="J23" s="136"/>
    </row>
    <row r="24" spans="1:10" x14ac:dyDescent="0.2">
      <c r="A24" s="19"/>
      <c r="B24" s="137"/>
      <c r="C24" s="137"/>
      <c r="D24" s="19">
        <v>90189</v>
      </c>
      <c r="E24" s="137" t="s">
        <v>938</v>
      </c>
      <c r="F24" s="137"/>
      <c r="G24" s="137"/>
      <c r="H24" s="137"/>
      <c r="I24" s="138">
        <v>3341.4</v>
      </c>
      <c r="J24" s="138"/>
    </row>
    <row r="25" spans="1:10" x14ac:dyDescent="0.2">
      <c r="A25" s="19"/>
      <c r="B25" s="137"/>
      <c r="C25" s="137"/>
      <c r="D25" s="19">
        <v>92742</v>
      </c>
      <c r="E25" s="137" t="s">
        <v>1008</v>
      </c>
      <c r="F25" s="137"/>
      <c r="G25" s="137"/>
      <c r="H25" s="137"/>
      <c r="I25" s="138">
        <v>3766</v>
      </c>
      <c r="J25" s="138"/>
    </row>
    <row r="26" spans="1:10" x14ac:dyDescent="0.2">
      <c r="A26" s="19">
        <v>4</v>
      </c>
      <c r="B26" s="137"/>
      <c r="C26" s="137"/>
      <c r="D26" s="19">
        <v>86054</v>
      </c>
      <c r="E26" s="196">
        <v>42213</v>
      </c>
      <c r="F26" s="137"/>
      <c r="G26" s="137" t="s">
        <v>1020</v>
      </c>
      <c r="H26" s="137"/>
      <c r="I26" s="138">
        <v>25463.599999999999</v>
      </c>
      <c r="J26" s="138"/>
    </row>
    <row r="27" spans="1:10" x14ac:dyDescent="0.2">
      <c r="A27" s="19">
        <v>5</v>
      </c>
      <c r="B27" s="164"/>
      <c r="C27" s="165"/>
      <c r="D27" s="19">
        <v>93463</v>
      </c>
      <c r="E27" s="162">
        <v>43245</v>
      </c>
      <c r="F27" s="165"/>
      <c r="G27" s="164" t="s">
        <v>1164</v>
      </c>
      <c r="H27" s="165"/>
      <c r="I27" s="166">
        <v>63936.53</v>
      </c>
      <c r="J27" s="167"/>
    </row>
    <row r="28" spans="1:10" x14ac:dyDescent="0.2">
      <c r="A28" s="82">
        <v>6</v>
      </c>
      <c r="B28" s="157"/>
      <c r="C28" s="156"/>
      <c r="D28" s="82">
        <v>113553</v>
      </c>
      <c r="E28" s="157"/>
      <c r="F28" s="156"/>
      <c r="G28" s="157" t="s">
        <v>1347</v>
      </c>
      <c r="H28" s="156"/>
      <c r="I28" s="158">
        <v>153000</v>
      </c>
      <c r="J28" s="159"/>
    </row>
    <row r="29" spans="1:10" x14ac:dyDescent="0.2">
      <c r="A29" s="82"/>
      <c r="B29" s="157"/>
      <c r="C29" s="156"/>
      <c r="D29" s="82"/>
      <c r="E29" s="157"/>
      <c r="F29" s="156"/>
      <c r="G29" s="157"/>
      <c r="H29" s="156"/>
      <c r="I29" s="158"/>
      <c r="J29" s="159"/>
    </row>
    <row r="30" spans="1:10" x14ac:dyDescent="0.2">
      <c r="A30" s="19"/>
      <c r="B30" s="164"/>
      <c r="C30" s="165"/>
      <c r="D30" s="19"/>
      <c r="E30" s="164"/>
      <c r="F30" s="165"/>
      <c r="G30" s="164"/>
      <c r="H30" s="165"/>
      <c r="I30" s="166"/>
      <c r="J30" s="167"/>
    </row>
    <row r="31" spans="1:10" ht="13.5" thickBot="1" x14ac:dyDescent="0.25">
      <c r="A31" s="9"/>
      <c r="B31" s="128"/>
      <c r="C31" s="128"/>
      <c r="D31" s="9"/>
      <c r="E31" s="128"/>
      <c r="F31" s="128"/>
      <c r="G31" s="128"/>
      <c r="H31" s="128"/>
      <c r="I31" s="226"/>
      <c r="J31" s="226"/>
    </row>
    <row r="32" spans="1:10" ht="13.5" thickTop="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140">
        <f>SUM(I19:J31)</f>
        <v>496671.26</v>
      </c>
      <c r="J32" s="140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5" t="s">
        <v>46</v>
      </c>
      <c r="B34" s="16"/>
      <c r="C34" s="16"/>
      <c r="D34" s="16"/>
      <c r="E34" s="16"/>
      <c r="F34" s="16"/>
      <c r="G34" s="16"/>
      <c r="H34" s="16"/>
      <c r="I34" s="149" t="s">
        <v>47</v>
      </c>
      <c r="J34" s="150"/>
    </row>
    <row r="35" spans="1:10" x14ac:dyDescent="0.2">
      <c r="A35" s="144" t="s">
        <v>48</v>
      </c>
      <c r="B35" s="144"/>
      <c r="C35" s="144"/>
      <c r="D35" s="144"/>
      <c r="E35" s="144"/>
      <c r="F35" s="144"/>
      <c r="G35" s="144"/>
      <c r="H35" s="144"/>
      <c r="I35" s="148">
        <f>I14*80%</f>
        <v>681811.92</v>
      </c>
      <c r="J35" s="148"/>
    </row>
    <row r="36" spans="1:10" x14ac:dyDescent="0.2">
      <c r="A36" s="144" t="s">
        <v>852</v>
      </c>
      <c r="B36" s="144"/>
      <c r="C36" s="144"/>
      <c r="D36" s="144"/>
      <c r="E36" s="144"/>
      <c r="F36" s="144"/>
      <c r="G36" s="144"/>
      <c r="H36" s="144"/>
      <c r="I36" s="184">
        <v>125000</v>
      </c>
      <c r="J36" s="184"/>
    </row>
    <row r="37" spans="1:10" x14ac:dyDescent="0.2">
      <c r="A37" s="185" t="s">
        <v>851</v>
      </c>
      <c r="B37" s="142"/>
      <c r="C37" s="142"/>
      <c r="D37" s="142"/>
      <c r="E37" s="142"/>
      <c r="F37" s="142"/>
      <c r="G37" s="142"/>
      <c r="H37" s="143"/>
      <c r="I37" s="146">
        <v>-125000</v>
      </c>
      <c r="J37" s="147"/>
    </row>
    <row r="38" spans="1:10" x14ac:dyDescent="0.2">
      <c r="A38" s="187" t="s">
        <v>1406</v>
      </c>
      <c r="B38" s="188"/>
      <c r="C38" s="188"/>
      <c r="D38" s="188"/>
      <c r="E38" s="188"/>
      <c r="F38" s="188"/>
      <c r="G38" s="188"/>
      <c r="H38" s="189"/>
      <c r="I38" s="190">
        <v>-73678.7</v>
      </c>
      <c r="J38" s="191"/>
    </row>
    <row r="39" spans="1:10" ht="13.5" thickBot="1" x14ac:dyDescent="0.25">
      <c r="A39" s="185" t="s">
        <v>50</v>
      </c>
      <c r="B39" s="142"/>
      <c r="C39" s="142"/>
      <c r="D39" s="142"/>
      <c r="E39" s="142"/>
      <c r="F39" s="142"/>
      <c r="G39" s="142"/>
      <c r="H39" s="143"/>
      <c r="I39" s="287">
        <f>I32</f>
        <v>496671.26</v>
      </c>
      <c r="J39" s="288"/>
    </row>
    <row r="40" spans="1:10" ht="13.5" thickTop="1" x14ac:dyDescent="0.2">
      <c r="H40" s="18" t="s">
        <v>33</v>
      </c>
      <c r="I40" s="129">
        <f>I35+I36+I37+I38-I39</f>
        <v>111461.96000000008</v>
      </c>
      <c r="J40" s="130"/>
    </row>
    <row r="42" spans="1:10" ht="15" x14ac:dyDescent="0.25">
      <c r="A42" s="131" t="s">
        <v>51</v>
      </c>
      <c r="B42" s="132"/>
      <c r="C42" s="132"/>
      <c r="D42" s="132"/>
      <c r="E42" s="132"/>
      <c r="F42" s="132"/>
      <c r="G42" s="132"/>
      <c r="H42" s="132"/>
      <c r="I42" s="132"/>
      <c r="J42" s="133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</sheetData>
  <mergeCells count="107">
    <mergeCell ref="I38:J38"/>
    <mergeCell ref="B30:C30"/>
    <mergeCell ref="E30:F30"/>
    <mergeCell ref="G30:H30"/>
    <mergeCell ref="I30:J30"/>
    <mergeCell ref="B27:C27"/>
    <mergeCell ref="E27:F27"/>
    <mergeCell ref="G27:H27"/>
    <mergeCell ref="I27:J27"/>
    <mergeCell ref="I32:J32"/>
    <mergeCell ref="I28:J28"/>
    <mergeCell ref="B29:C29"/>
    <mergeCell ref="E29:F29"/>
    <mergeCell ref="G29:H29"/>
    <mergeCell ref="I29:J29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I17:J18"/>
    <mergeCell ref="B12:C12"/>
    <mergeCell ref="D12:E12"/>
    <mergeCell ref="G12:H12"/>
    <mergeCell ref="B13:C13"/>
    <mergeCell ref="D13:E13"/>
    <mergeCell ref="G13:H13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5:C25"/>
    <mergeCell ref="E25:F25"/>
    <mergeCell ref="G25:H25"/>
    <mergeCell ref="I25:J25"/>
    <mergeCell ref="B24:C24"/>
    <mergeCell ref="E24:F24"/>
    <mergeCell ref="G24:H24"/>
    <mergeCell ref="I24:J24"/>
    <mergeCell ref="B21:C21"/>
    <mergeCell ref="E21:F21"/>
    <mergeCell ref="G21:H21"/>
    <mergeCell ref="I21:J21"/>
    <mergeCell ref="B26:C26"/>
    <mergeCell ref="E26:F26"/>
    <mergeCell ref="G26:H26"/>
    <mergeCell ref="I26:J26"/>
    <mergeCell ref="A43:J48"/>
    <mergeCell ref="A36:H36"/>
    <mergeCell ref="I36:J36"/>
    <mergeCell ref="A39:H39"/>
    <mergeCell ref="I39:J39"/>
    <mergeCell ref="A37:H37"/>
    <mergeCell ref="I37:J37"/>
    <mergeCell ref="I40:J40"/>
    <mergeCell ref="A42:J42"/>
    <mergeCell ref="A38:H38"/>
    <mergeCell ref="I34:J34"/>
    <mergeCell ref="A35:H35"/>
    <mergeCell ref="I35:J35"/>
    <mergeCell ref="E31:F31"/>
    <mergeCell ref="G31:H31"/>
    <mergeCell ref="I31:J31"/>
    <mergeCell ref="B31:C31"/>
    <mergeCell ref="B28:C28"/>
    <mergeCell ref="E28:F28"/>
    <mergeCell ref="G28:H28"/>
  </mergeCells>
  <phoneticPr fontId="6" type="noConversion"/>
  <pageMargins left="0.75" right="0.75" top="1" bottom="1" header="0.5" footer="0.5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>
    <pageSetUpPr fitToPage="1"/>
  </sheetPr>
  <dimension ref="A1:K46"/>
  <sheetViews>
    <sheetView topLeftCell="A7" workbookViewId="0">
      <selection activeCell="G18" sqref="G18"/>
    </sheetView>
  </sheetViews>
  <sheetFormatPr defaultRowHeight="12.75" x14ac:dyDescent="0.2"/>
  <cols>
    <col min="6" max="6" width="10.42578125" customWidth="1"/>
    <col min="9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340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1" x14ac:dyDescent="0.2">
      <c r="A6" s="9">
        <v>1</v>
      </c>
      <c r="B6" s="128">
        <v>2531682</v>
      </c>
      <c r="C6" s="128"/>
      <c r="D6" s="128">
        <v>2531682</v>
      </c>
      <c r="E6" s="128"/>
      <c r="F6" s="12">
        <v>33657</v>
      </c>
      <c r="G6" s="169" t="s">
        <v>342</v>
      </c>
      <c r="H6" s="169"/>
      <c r="I6" s="32">
        <v>90041.86</v>
      </c>
      <c r="J6" s="32">
        <f t="shared" ref="J6:J14" si="0">I6*0.8</f>
        <v>72033.487999999998</v>
      </c>
    </row>
    <row r="7" spans="1:11" x14ac:dyDescent="0.2">
      <c r="A7" s="9">
        <v>2</v>
      </c>
      <c r="B7" s="128">
        <v>2532158</v>
      </c>
      <c r="C7" s="128"/>
      <c r="D7" s="128">
        <v>2535378</v>
      </c>
      <c r="E7" s="128"/>
      <c r="F7" s="12">
        <v>34605</v>
      </c>
      <c r="G7" s="169" t="s">
        <v>343</v>
      </c>
      <c r="H7" s="169"/>
      <c r="I7" s="32">
        <v>120082.96</v>
      </c>
      <c r="J7" s="32">
        <f t="shared" si="0"/>
        <v>96066.368000000017</v>
      </c>
    </row>
    <row r="8" spans="1:11" x14ac:dyDescent="0.2">
      <c r="A8" s="9">
        <v>3</v>
      </c>
      <c r="B8" s="128">
        <v>2532778</v>
      </c>
      <c r="C8" s="128"/>
      <c r="D8" s="128">
        <v>2535572</v>
      </c>
      <c r="E8" s="128"/>
      <c r="F8" s="12">
        <v>35625</v>
      </c>
      <c r="G8" s="169" t="s">
        <v>344</v>
      </c>
      <c r="H8" s="169"/>
      <c r="I8" s="32">
        <v>163125.65</v>
      </c>
      <c r="J8" s="32">
        <f t="shared" si="0"/>
        <v>130500.52</v>
      </c>
    </row>
    <row r="9" spans="1:11" x14ac:dyDescent="0.2">
      <c r="A9" s="9">
        <v>4</v>
      </c>
      <c r="B9" s="128">
        <v>2531968</v>
      </c>
      <c r="C9" s="128"/>
      <c r="D9" s="128">
        <v>2535653</v>
      </c>
      <c r="E9" s="128"/>
      <c r="F9" s="12">
        <v>35856</v>
      </c>
      <c r="G9" s="169" t="s">
        <v>345</v>
      </c>
      <c r="H9" s="169"/>
      <c r="I9" s="32">
        <v>834839.36</v>
      </c>
      <c r="J9" s="32">
        <f t="shared" si="0"/>
        <v>667871.48800000001</v>
      </c>
      <c r="K9" s="107"/>
    </row>
    <row r="10" spans="1:11" x14ac:dyDescent="0.2">
      <c r="A10" s="9">
        <v>5</v>
      </c>
      <c r="B10" s="128">
        <v>2532557</v>
      </c>
      <c r="C10" s="128"/>
      <c r="D10" s="128"/>
      <c r="E10" s="128"/>
      <c r="F10" s="12">
        <v>39777</v>
      </c>
      <c r="G10" s="169"/>
      <c r="H10" s="169"/>
      <c r="I10" s="32">
        <v>843430.40000000002</v>
      </c>
      <c r="J10" s="32">
        <f t="shared" si="0"/>
        <v>674744.32000000007</v>
      </c>
    </row>
    <row r="11" spans="1:11" x14ac:dyDescent="0.2">
      <c r="A11" s="9">
        <v>6</v>
      </c>
      <c r="B11" s="128">
        <v>2532980</v>
      </c>
      <c r="C11" s="128"/>
      <c r="D11" s="128" t="s">
        <v>814</v>
      </c>
      <c r="E11" s="128"/>
      <c r="F11" s="12">
        <v>39846</v>
      </c>
      <c r="G11" s="169"/>
      <c r="H11" s="169"/>
      <c r="I11" s="32">
        <v>612347.31000000006</v>
      </c>
      <c r="J11" s="32">
        <f t="shared" si="0"/>
        <v>489877.84800000006</v>
      </c>
    </row>
    <row r="12" spans="1:11" x14ac:dyDescent="0.2">
      <c r="A12" s="9">
        <v>7</v>
      </c>
      <c r="B12" s="128">
        <v>2531186</v>
      </c>
      <c r="C12" s="128"/>
      <c r="D12" s="128">
        <v>2531216</v>
      </c>
      <c r="E12" s="128"/>
      <c r="F12" s="12">
        <v>42912</v>
      </c>
      <c r="G12" s="169"/>
      <c r="H12" s="169"/>
      <c r="I12" s="32">
        <v>460853.65</v>
      </c>
      <c r="J12" s="32">
        <f t="shared" si="0"/>
        <v>368682.92000000004</v>
      </c>
    </row>
    <row r="13" spans="1:11" x14ac:dyDescent="0.2">
      <c r="A13" s="9">
        <v>8</v>
      </c>
      <c r="B13" s="128">
        <v>2531992</v>
      </c>
      <c r="C13" s="128"/>
      <c r="D13" s="128">
        <v>2531941</v>
      </c>
      <c r="E13" s="128"/>
      <c r="F13" s="12">
        <v>43132</v>
      </c>
      <c r="G13" s="169"/>
      <c r="H13" s="169"/>
      <c r="I13" s="32">
        <v>485436.03</v>
      </c>
      <c r="J13" s="32">
        <f t="shared" si="0"/>
        <v>388348.82400000002</v>
      </c>
    </row>
    <row r="14" spans="1:11" x14ac:dyDescent="0.2">
      <c r="A14" s="9">
        <v>9</v>
      </c>
      <c r="B14" s="128">
        <v>2534479</v>
      </c>
      <c r="C14" s="128"/>
      <c r="D14" s="128" t="s">
        <v>1182</v>
      </c>
      <c r="E14" s="128"/>
      <c r="F14" s="12">
        <v>44825</v>
      </c>
      <c r="G14" s="169" t="s">
        <v>1585</v>
      </c>
      <c r="H14" s="169"/>
      <c r="I14" s="32">
        <v>608697.13</v>
      </c>
      <c r="J14" s="32">
        <f t="shared" si="0"/>
        <v>486957.70400000003</v>
      </c>
    </row>
    <row r="15" spans="1:11" x14ac:dyDescent="0.2">
      <c r="A15" s="9"/>
      <c r="B15" s="128"/>
      <c r="C15" s="128"/>
      <c r="D15" s="128"/>
      <c r="E15" s="128"/>
      <c r="F15" s="12"/>
      <c r="G15" s="169"/>
      <c r="H15" s="169"/>
      <c r="I15" s="32"/>
      <c r="J15" s="32"/>
    </row>
    <row r="16" spans="1:11" x14ac:dyDescent="0.2">
      <c r="A16" s="9"/>
      <c r="B16" s="128"/>
      <c r="C16" s="128"/>
      <c r="D16" s="128"/>
      <c r="E16" s="128"/>
      <c r="F16" s="12"/>
      <c r="G16" s="169"/>
      <c r="H16" s="169"/>
      <c r="I16" s="32"/>
      <c r="J16" s="32"/>
    </row>
    <row r="17" spans="1:10" x14ac:dyDescent="0.2">
      <c r="A17" s="13"/>
      <c r="B17" s="13"/>
      <c r="C17" s="13"/>
      <c r="D17" s="13"/>
      <c r="E17" s="13"/>
      <c r="F17" s="13"/>
      <c r="G17" s="13"/>
      <c r="H17" s="13" t="s">
        <v>33</v>
      </c>
      <c r="I17" s="33">
        <f>SUM(I6:I16)</f>
        <v>4218854.3499999996</v>
      </c>
      <c r="J17" s="33">
        <f>SUM(J6:J16)</f>
        <v>3375083.48</v>
      </c>
    </row>
    <row r="18" spans="1:1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" x14ac:dyDescent="0.25">
      <c r="A19" s="131" t="s">
        <v>34</v>
      </c>
      <c r="B19" s="132"/>
      <c r="C19" s="132"/>
      <c r="D19" s="132"/>
      <c r="E19" s="132"/>
      <c r="F19" s="132"/>
      <c r="G19" s="132"/>
      <c r="H19" s="132"/>
      <c r="I19" s="132"/>
      <c r="J19" s="133"/>
    </row>
    <row r="20" spans="1:10" x14ac:dyDescent="0.2">
      <c r="A20" s="169" t="s">
        <v>23</v>
      </c>
      <c r="B20" s="169" t="s">
        <v>35</v>
      </c>
      <c r="C20" s="169"/>
      <c r="D20" s="169" t="s">
        <v>36</v>
      </c>
      <c r="E20" s="169" t="s">
        <v>37</v>
      </c>
      <c r="F20" s="169"/>
      <c r="G20" s="169" t="s">
        <v>38</v>
      </c>
      <c r="H20" s="169"/>
      <c r="I20" s="169" t="s">
        <v>39</v>
      </c>
      <c r="J20" s="169"/>
    </row>
    <row r="21" spans="1:10" x14ac:dyDescent="0.2">
      <c r="A21" s="169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x14ac:dyDescent="0.2">
      <c r="A22" s="9">
        <v>1</v>
      </c>
      <c r="B22" s="183" t="s">
        <v>346</v>
      </c>
      <c r="C22" s="128"/>
      <c r="D22" s="9">
        <v>4608</v>
      </c>
      <c r="E22" s="182">
        <v>35690</v>
      </c>
      <c r="F22" s="128"/>
      <c r="G22" s="128" t="s">
        <v>347</v>
      </c>
      <c r="H22" s="128"/>
      <c r="I22" s="136">
        <v>121678</v>
      </c>
      <c r="J22" s="136"/>
    </row>
    <row r="23" spans="1:10" x14ac:dyDescent="0.2">
      <c r="A23" s="9">
        <v>2</v>
      </c>
      <c r="B23" s="128" t="s">
        <v>840</v>
      </c>
      <c r="C23" s="128"/>
      <c r="D23" s="9">
        <v>79030</v>
      </c>
      <c r="E23" s="182">
        <v>41107</v>
      </c>
      <c r="F23" s="128"/>
      <c r="G23" s="128" t="s">
        <v>841</v>
      </c>
      <c r="H23" s="128"/>
      <c r="I23" s="136">
        <v>161027.14000000001</v>
      </c>
      <c r="J23" s="136"/>
    </row>
    <row r="24" spans="1:10" x14ac:dyDescent="0.2">
      <c r="A24" s="9">
        <v>3</v>
      </c>
      <c r="B24" s="128">
        <v>466832</v>
      </c>
      <c r="C24" s="128"/>
      <c r="D24" s="9">
        <v>87880</v>
      </c>
      <c r="E24" s="182">
        <v>41551</v>
      </c>
      <c r="F24" s="128"/>
      <c r="G24" s="128" t="s">
        <v>885</v>
      </c>
      <c r="H24" s="128"/>
      <c r="I24" s="136">
        <v>1035465.12</v>
      </c>
      <c r="J24" s="136"/>
    </row>
    <row r="25" spans="1:10" x14ac:dyDescent="0.2">
      <c r="A25" s="9">
        <v>4</v>
      </c>
      <c r="B25" s="128">
        <v>466201</v>
      </c>
      <c r="C25" s="128"/>
      <c r="D25" s="9">
        <v>82532</v>
      </c>
      <c r="E25" s="182">
        <v>42009</v>
      </c>
      <c r="F25" s="128"/>
      <c r="G25" s="230" t="s">
        <v>949</v>
      </c>
      <c r="H25" s="128"/>
      <c r="I25" s="136">
        <v>82699.09</v>
      </c>
      <c r="J25" s="136"/>
    </row>
    <row r="26" spans="1:10" x14ac:dyDescent="0.2">
      <c r="A26" s="19">
        <v>5</v>
      </c>
      <c r="B26" s="137">
        <v>467316</v>
      </c>
      <c r="C26" s="137"/>
      <c r="D26" s="19">
        <v>95452</v>
      </c>
      <c r="E26" s="196">
        <v>42828</v>
      </c>
      <c r="F26" s="137"/>
      <c r="G26" s="137" t="s">
        <v>1082</v>
      </c>
      <c r="H26" s="137"/>
      <c r="I26" s="138">
        <v>90788.94</v>
      </c>
      <c r="J26" s="138"/>
    </row>
    <row r="27" spans="1:10" x14ac:dyDescent="0.2">
      <c r="A27" s="58">
        <v>6</v>
      </c>
      <c r="B27" s="151"/>
      <c r="C27" s="151"/>
      <c r="D27" s="58">
        <v>113471</v>
      </c>
      <c r="E27" s="151"/>
      <c r="F27" s="151"/>
      <c r="G27" s="151" t="s">
        <v>1586</v>
      </c>
      <c r="H27" s="151"/>
      <c r="I27" s="152">
        <v>347850</v>
      </c>
      <c r="J27" s="152"/>
    </row>
    <row r="28" spans="1:10" x14ac:dyDescent="0.2">
      <c r="A28" s="9"/>
      <c r="B28" s="128"/>
      <c r="C28" s="128"/>
      <c r="D28" s="9"/>
      <c r="E28" s="128"/>
      <c r="F28" s="128"/>
      <c r="G28" s="128"/>
      <c r="H28" s="128"/>
      <c r="I28" s="136"/>
      <c r="J28" s="136"/>
    </row>
    <row r="29" spans="1:10" x14ac:dyDescent="0.2">
      <c r="A29" s="9"/>
      <c r="B29" s="128"/>
      <c r="C29" s="128"/>
      <c r="D29" s="9"/>
      <c r="E29" s="128"/>
      <c r="F29" s="128"/>
      <c r="G29" s="128"/>
      <c r="H29" s="128"/>
      <c r="I29" s="136"/>
      <c r="J29" s="136"/>
    </row>
    <row r="30" spans="1:10" ht="13.5" thickBot="1" x14ac:dyDescent="0.25">
      <c r="A30" s="9"/>
      <c r="B30" s="128"/>
      <c r="C30" s="128"/>
      <c r="D30" s="9"/>
      <c r="E30" s="128"/>
      <c r="F30" s="128"/>
      <c r="G30" s="128"/>
      <c r="H30" s="128"/>
      <c r="I30" s="226"/>
      <c r="J30" s="22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0">
        <f>SUM(I22:J30)</f>
        <v>1839508.29</v>
      </c>
      <c r="J31" s="140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49" t="s">
        <v>47</v>
      </c>
      <c r="J33" s="150"/>
    </row>
    <row r="34" spans="1:10" x14ac:dyDescent="0.2">
      <c r="A34" s="144" t="s">
        <v>48</v>
      </c>
      <c r="B34" s="144"/>
      <c r="C34" s="144"/>
      <c r="D34" s="144"/>
      <c r="E34" s="144"/>
      <c r="F34" s="144"/>
      <c r="G34" s="144"/>
      <c r="H34" s="144"/>
      <c r="I34" s="148">
        <f>I17*80%</f>
        <v>3375083.48</v>
      </c>
      <c r="J34" s="148"/>
    </row>
    <row r="35" spans="1:10" x14ac:dyDescent="0.2">
      <c r="A35" s="144" t="s">
        <v>49</v>
      </c>
      <c r="B35" s="144"/>
      <c r="C35" s="144"/>
      <c r="D35" s="144"/>
      <c r="E35" s="144"/>
      <c r="F35" s="144"/>
      <c r="G35" s="144"/>
      <c r="H35" s="144"/>
      <c r="I35" s="184">
        <f>-100000-534356</f>
        <v>-634356</v>
      </c>
      <c r="J35" s="184"/>
    </row>
    <row r="36" spans="1:10" x14ac:dyDescent="0.2">
      <c r="A36" s="134" t="s">
        <v>1386</v>
      </c>
      <c r="B36" s="134"/>
      <c r="C36" s="134"/>
      <c r="D36" s="134"/>
      <c r="E36" s="134"/>
      <c r="F36" s="134"/>
      <c r="G36" s="134"/>
      <c r="H36" s="134"/>
      <c r="I36" s="135">
        <v>-756507.08</v>
      </c>
      <c r="J36" s="135"/>
    </row>
    <row r="37" spans="1:10" ht="13.5" thickBot="1" x14ac:dyDescent="0.25">
      <c r="A37" s="144" t="s">
        <v>50</v>
      </c>
      <c r="B37" s="144"/>
      <c r="C37" s="144"/>
      <c r="D37" s="144"/>
      <c r="E37" s="144"/>
      <c r="F37" s="144"/>
      <c r="G37" s="144"/>
      <c r="H37" s="144"/>
      <c r="I37" s="145">
        <f>I31</f>
        <v>1839508.29</v>
      </c>
      <c r="J37" s="145"/>
    </row>
    <row r="38" spans="1:10" ht="13.5" thickTop="1" x14ac:dyDescent="0.2">
      <c r="H38" s="18" t="s">
        <v>33</v>
      </c>
      <c r="I38" s="129">
        <f>I34+I35+I36-I37</f>
        <v>144712.10999999987</v>
      </c>
      <c r="J38" s="130"/>
    </row>
    <row r="40" spans="1:10" ht="15" x14ac:dyDescent="0.25">
      <c r="A40" s="131" t="s">
        <v>51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x14ac:dyDescent="0.2">
      <c r="A41" s="139" t="s">
        <v>348</v>
      </c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</sheetData>
  <mergeCells count="98">
    <mergeCell ref="A34:H34"/>
    <mergeCell ref="I34:J34"/>
    <mergeCell ref="I38:J38"/>
    <mergeCell ref="B30:C30"/>
    <mergeCell ref="E30:F30"/>
    <mergeCell ref="G30:H30"/>
    <mergeCell ref="I30:J30"/>
    <mergeCell ref="I31:J31"/>
    <mergeCell ref="I33:J33"/>
    <mergeCell ref="A40:J40"/>
    <mergeCell ref="A41:J46"/>
    <mergeCell ref="A35:H35"/>
    <mergeCell ref="I35:J35"/>
    <mergeCell ref="A37:H37"/>
    <mergeCell ref="I37:J37"/>
    <mergeCell ref="A36:H36"/>
    <mergeCell ref="I36:J36"/>
    <mergeCell ref="B28:C28"/>
    <mergeCell ref="E28:F28"/>
    <mergeCell ref="G28:H28"/>
    <mergeCell ref="I28:J28"/>
    <mergeCell ref="B29:C29"/>
    <mergeCell ref="E29:F29"/>
    <mergeCell ref="G29:H29"/>
    <mergeCell ref="I29:J29"/>
    <mergeCell ref="B26:C26"/>
    <mergeCell ref="E26:F26"/>
    <mergeCell ref="G26:H26"/>
    <mergeCell ref="I26:J26"/>
    <mergeCell ref="B27:C27"/>
    <mergeCell ref="E27:F27"/>
    <mergeCell ref="G27:H27"/>
    <mergeCell ref="I27:J27"/>
    <mergeCell ref="B24:C24"/>
    <mergeCell ref="E24:F24"/>
    <mergeCell ref="G24:H24"/>
    <mergeCell ref="I24:J24"/>
    <mergeCell ref="B25:C25"/>
    <mergeCell ref="E25:F25"/>
    <mergeCell ref="G25:H25"/>
    <mergeCell ref="I25:J25"/>
    <mergeCell ref="B22:C22"/>
    <mergeCell ref="E22:F22"/>
    <mergeCell ref="G22:H22"/>
    <mergeCell ref="I22:J22"/>
    <mergeCell ref="B23:C23"/>
    <mergeCell ref="E23:F23"/>
    <mergeCell ref="G23:H23"/>
    <mergeCell ref="I23:J23"/>
    <mergeCell ref="B16:C16"/>
    <mergeCell ref="D16:E16"/>
    <mergeCell ref="G16:H16"/>
    <mergeCell ref="A19:J19"/>
    <mergeCell ref="A20:A21"/>
    <mergeCell ref="B20:C21"/>
    <mergeCell ref="D20:D21"/>
    <mergeCell ref="E20:F21"/>
    <mergeCell ref="G20:H21"/>
    <mergeCell ref="I20:J21"/>
    <mergeCell ref="B12:C12"/>
    <mergeCell ref="D12:E12"/>
    <mergeCell ref="G12:H12"/>
    <mergeCell ref="B14:C14"/>
    <mergeCell ref="D14:E14"/>
    <mergeCell ref="G14:H14"/>
    <mergeCell ref="B15:C15"/>
    <mergeCell ref="D15:E15"/>
    <mergeCell ref="G15:H15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D7:E7"/>
    <mergeCell ref="G7:H7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0">
    <pageSetUpPr fitToPage="1"/>
  </sheetPr>
  <dimension ref="A1:J62"/>
  <sheetViews>
    <sheetView topLeftCell="A25" workbookViewId="0">
      <selection activeCell="I55" sqref="I55"/>
    </sheetView>
  </sheetViews>
  <sheetFormatPr defaultRowHeight="12.75" x14ac:dyDescent="0.2"/>
  <cols>
    <col min="6" max="6" width="12.28515625" customWidth="1"/>
    <col min="9" max="9" width="12.71093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349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2635240</v>
      </c>
      <c r="C6" s="128"/>
      <c r="D6" s="128">
        <v>2635291</v>
      </c>
      <c r="E6" s="128"/>
      <c r="F6" s="12">
        <v>34242</v>
      </c>
      <c r="G6" s="169" t="s">
        <v>351</v>
      </c>
      <c r="H6" s="169"/>
      <c r="I6" s="32">
        <v>133650.64000000001</v>
      </c>
      <c r="J6" s="32">
        <f t="shared" ref="J6:J17" si="0">I6*0.8</f>
        <v>106920.51200000002</v>
      </c>
    </row>
    <row r="7" spans="1:10" x14ac:dyDescent="0.2">
      <c r="A7" s="9">
        <v>2</v>
      </c>
      <c r="B7" s="128">
        <v>2632152</v>
      </c>
      <c r="C7" s="128"/>
      <c r="D7" s="128">
        <v>2632144</v>
      </c>
      <c r="E7" s="128"/>
      <c r="F7" s="12">
        <v>39826</v>
      </c>
      <c r="G7" s="169"/>
      <c r="H7" s="169"/>
      <c r="I7" s="32">
        <v>453696.48</v>
      </c>
      <c r="J7" s="32">
        <f t="shared" si="0"/>
        <v>362957.18400000001</v>
      </c>
    </row>
    <row r="8" spans="1:10" x14ac:dyDescent="0.2">
      <c r="A8" s="9">
        <v>3</v>
      </c>
      <c r="B8" s="128">
        <v>2630109</v>
      </c>
      <c r="C8" s="128"/>
      <c r="D8" s="128">
        <v>2630206</v>
      </c>
      <c r="E8" s="128"/>
      <c r="F8" s="12">
        <v>40648</v>
      </c>
      <c r="G8" s="169"/>
      <c r="H8" s="169"/>
      <c r="I8" s="32">
        <v>213517.18</v>
      </c>
      <c r="J8" s="32">
        <f t="shared" si="0"/>
        <v>170813.74400000001</v>
      </c>
    </row>
    <row r="9" spans="1:10" x14ac:dyDescent="0.2">
      <c r="A9" s="9">
        <v>4</v>
      </c>
      <c r="B9" s="128">
        <v>2630400</v>
      </c>
      <c r="C9" s="128"/>
      <c r="D9" s="128">
        <v>2630443</v>
      </c>
      <c r="E9" s="128"/>
      <c r="F9" s="12">
        <v>41093</v>
      </c>
      <c r="G9" s="169"/>
      <c r="H9" s="169"/>
      <c r="I9" s="32">
        <v>271823.11</v>
      </c>
      <c r="J9" s="32">
        <f t="shared" si="0"/>
        <v>217458.48800000001</v>
      </c>
    </row>
    <row r="10" spans="1:10" x14ac:dyDescent="0.2">
      <c r="A10" s="9">
        <v>5</v>
      </c>
      <c r="B10" s="128">
        <v>2631938</v>
      </c>
      <c r="C10" s="128"/>
      <c r="D10" s="128">
        <v>2631865</v>
      </c>
      <c r="E10" s="128"/>
      <c r="F10" s="12">
        <v>41529</v>
      </c>
      <c r="G10" s="169"/>
      <c r="H10" s="169"/>
      <c r="I10" s="32">
        <v>274462.3</v>
      </c>
      <c r="J10" s="32">
        <f t="shared" si="0"/>
        <v>219569.84</v>
      </c>
    </row>
    <row r="11" spans="1:10" x14ac:dyDescent="0.2">
      <c r="A11" s="9">
        <v>6</v>
      </c>
      <c r="B11" s="128">
        <v>2633310</v>
      </c>
      <c r="C11" s="128"/>
      <c r="D11" s="128">
        <v>2633337</v>
      </c>
      <c r="E11" s="128"/>
      <c r="F11" s="12">
        <v>41827</v>
      </c>
      <c r="G11" s="169"/>
      <c r="H11" s="169"/>
      <c r="I11" s="32">
        <v>304877.94</v>
      </c>
      <c r="J11" s="32">
        <f t="shared" si="0"/>
        <v>243902.35200000001</v>
      </c>
    </row>
    <row r="12" spans="1:10" x14ac:dyDescent="0.2">
      <c r="A12" s="9">
        <v>7</v>
      </c>
      <c r="B12" s="128">
        <v>2632667</v>
      </c>
      <c r="C12" s="128"/>
      <c r="D12" s="128">
        <v>2632675</v>
      </c>
      <c r="E12" s="128"/>
      <c r="F12" s="12">
        <v>42129</v>
      </c>
      <c r="G12" s="169"/>
      <c r="H12" s="169"/>
      <c r="I12" s="32">
        <v>224655.95</v>
      </c>
      <c r="J12" s="32">
        <f t="shared" si="0"/>
        <v>179724.76</v>
      </c>
    </row>
    <row r="13" spans="1:10" x14ac:dyDescent="0.2">
      <c r="A13" s="9">
        <v>8</v>
      </c>
      <c r="B13" s="128">
        <v>2635224</v>
      </c>
      <c r="C13" s="128"/>
      <c r="D13" s="128">
        <v>2630002</v>
      </c>
      <c r="E13" s="128"/>
      <c r="F13" s="12">
        <v>42318</v>
      </c>
      <c r="G13" s="169"/>
      <c r="H13" s="169"/>
      <c r="I13" s="32">
        <v>209748.06</v>
      </c>
      <c r="J13" s="32">
        <f t="shared" si="0"/>
        <v>167798.448</v>
      </c>
    </row>
    <row r="14" spans="1:10" x14ac:dyDescent="0.2">
      <c r="A14" s="9">
        <v>9</v>
      </c>
      <c r="B14" s="128">
        <v>2630664</v>
      </c>
      <c r="C14" s="128"/>
      <c r="D14" s="137" t="s">
        <v>1151</v>
      </c>
      <c r="E14" s="128"/>
      <c r="F14" s="12">
        <v>43026</v>
      </c>
      <c r="G14" s="169"/>
      <c r="H14" s="169"/>
      <c r="I14" s="32">
        <v>242323.08</v>
      </c>
      <c r="J14" s="32">
        <f t="shared" si="0"/>
        <v>193858.46400000001</v>
      </c>
    </row>
    <row r="15" spans="1:10" x14ac:dyDescent="0.2">
      <c r="A15" s="9">
        <v>10</v>
      </c>
      <c r="B15" s="128">
        <v>2631504</v>
      </c>
      <c r="C15" s="128"/>
      <c r="D15" s="230" t="s">
        <v>1151</v>
      </c>
      <c r="E15" s="128"/>
      <c r="F15" s="12">
        <v>43698</v>
      </c>
      <c r="G15" s="169"/>
      <c r="H15" s="169"/>
      <c r="I15" s="32">
        <v>300808.55</v>
      </c>
      <c r="J15" s="32">
        <f t="shared" si="0"/>
        <v>240646.84</v>
      </c>
    </row>
    <row r="16" spans="1:10" x14ac:dyDescent="0.2">
      <c r="A16" s="9">
        <v>11</v>
      </c>
      <c r="B16" s="128">
        <v>2632659</v>
      </c>
      <c r="C16" s="128"/>
      <c r="D16" s="230" t="s">
        <v>1151</v>
      </c>
      <c r="E16" s="128"/>
      <c r="F16" s="12">
        <v>43698</v>
      </c>
      <c r="G16" s="169"/>
      <c r="H16" s="169"/>
      <c r="I16" s="32">
        <v>252511.73</v>
      </c>
      <c r="J16" s="32">
        <f t="shared" si="0"/>
        <v>202009.38400000002</v>
      </c>
    </row>
    <row r="17" spans="1:10" x14ac:dyDescent="0.2">
      <c r="A17" s="9">
        <v>12</v>
      </c>
      <c r="B17" s="128">
        <v>2633086</v>
      </c>
      <c r="C17" s="128"/>
      <c r="D17" s="230" t="s">
        <v>1151</v>
      </c>
      <c r="E17" s="128"/>
      <c r="F17" s="12">
        <v>43858</v>
      </c>
      <c r="G17" s="169"/>
      <c r="H17" s="169"/>
      <c r="I17" s="32">
        <v>260310.66</v>
      </c>
      <c r="J17" s="32">
        <f t="shared" si="0"/>
        <v>208248.52800000002</v>
      </c>
    </row>
    <row r="18" spans="1:10" x14ac:dyDescent="0.2">
      <c r="A18" s="9"/>
      <c r="B18" s="128"/>
      <c r="C18" s="128"/>
      <c r="D18" s="128"/>
      <c r="E18" s="128"/>
      <c r="F18" s="12"/>
      <c r="G18" s="169"/>
      <c r="H18" s="169"/>
      <c r="I18" s="32"/>
      <c r="J18" s="32"/>
    </row>
    <row r="19" spans="1:10" x14ac:dyDescent="0.2">
      <c r="A19" s="9"/>
      <c r="B19" s="128"/>
      <c r="C19" s="128"/>
      <c r="D19" s="128"/>
      <c r="E19" s="128"/>
      <c r="F19" s="12"/>
      <c r="G19" s="169"/>
      <c r="H19" s="169"/>
      <c r="I19" s="32"/>
      <c r="J19" s="32"/>
    </row>
    <row r="20" spans="1:10" x14ac:dyDescent="0.2">
      <c r="A20" s="13"/>
      <c r="B20" s="13"/>
      <c r="C20" s="13"/>
      <c r="D20" s="13"/>
      <c r="E20" s="13"/>
      <c r="F20" s="13"/>
      <c r="G20" s="13"/>
      <c r="H20" s="13" t="s">
        <v>33</v>
      </c>
      <c r="I20" s="33">
        <f>SUM(I6:I19)</f>
        <v>3142385.68</v>
      </c>
      <c r="J20" s="33">
        <f>SUM(J6:J19)</f>
        <v>2513908.5439999998</v>
      </c>
    </row>
    <row r="21" spans="1:10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 x14ac:dyDescent="0.25">
      <c r="A22" s="131" t="s">
        <v>34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x14ac:dyDescent="0.2">
      <c r="A23" s="169" t="s">
        <v>23</v>
      </c>
      <c r="B23" s="169" t="s">
        <v>35</v>
      </c>
      <c r="C23" s="169"/>
      <c r="D23" s="169" t="s">
        <v>36</v>
      </c>
      <c r="E23" s="169" t="s">
        <v>37</v>
      </c>
      <c r="F23" s="169"/>
      <c r="G23" s="169" t="s">
        <v>38</v>
      </c>
      <c r="H23" s="169"/>
      <c r="I23" s="169" t="s">
        <v>39</v>
      </c>
      <c r="J23" s="169"/>
    </row>
    <row r="24" spans="1:10" x14ac:dyDescent="0.2">
      <c r="A24" s="169"/>
      <c r="B24" s="169"/>
      <c r="C24" s="169"/>
      <c r="D24" s="169"/>
      <c r="E24" s="169"/>
      <c r="F24" s="169"/>
      <c r="G24" s="169"/>
      <c r="H24" s="169"/>
      <c r="I24" s="169"/>
      <c r="J24" s="169"/>
    </row>
    <row r="25" spans="1:10" x14ac:dyDescent="0.2">
      <c r="A25" s="9">
        <v>1</v>
      </c>
      <c r="B25" s="183" t="s">
        <v>352</v>
      </c>
      <c r="C25" s="128"/>
      <c r="D25" s="9">
        <v>7128</v>
      </c>
      <c r="E25" s="182">
        <v>34851</v>
      </c>
      <c r="F25" s="128"/>
      <c r="G25" s="128">
        <v>2605001</v>
      </c>
      <c r="H25" s="128"/>
      <c r="I25" s="136">
        <f>122522-15601.49</f>
        <v>106920.51</v>
      </c>
      <c r="J25" s="136"/>
    </row>
    <row r="26" spans="1:10" x14ac:dyDescent="0.2">
      <c r="A26" s="19"/>
      <c r="B26" s="137"/>
      <c r="C26" s="137"/>
      <c r="D26" s="19">
        <v>87270</v>
      </c>
      <c r="E26" s="137" t="s">
        <v>864</v>
      </c>
      <c r="F26" s="137"/>
      <c r="G26" s="137"/>
      <c r="H26" s="137"/>
      <c r="I26" s="138">
        <v>3526.4</v>
      </c>
      <c r="J26" s="138"/>
    </row>
    <row r="27" spans="1:10" x14ac:dyDescent="0.2">
      <c r="A27" s="19"/>
      <c r="B27" s="137"/>
      <c r="C27" s="137"/>
      <c r="D27" s="19">
        <v>88870</v>
      </c>
      <c r="E27" s="137" t="s">
        <v>912</v>
      </c>
      <c r="F27" s="137"/>
      <c r="G27" s="137"/>
      <c r="H27" s="137"/>
      <c r="I27" s="138">
        <v>4980.2</v>
      </c>
      <c r="J27" s="138"/>
    </row>
    <row r="28" spans="1:10" x14ac:dyDescent="0.2">
      <c r="A28" s="19"/>
      <c r="B28" s="137"/>
      <c r="C28" s="137"/>
      <c r="D28" s="19">
        <v>90189</v>
      </c>
      <c r="E28" s="137" t="s">
        <v>939</v>
      </c>
      <c r="F28" s="137"/>
      <c r="G28" s="137"/>
      <c r="H28" s="137"/>
      <c r="I28" s="138">
        <v>4147.2</v>
      </c>
      <c r="J28" s="138"/>
    </row>
    <row r="29" spans="1:10" x14ac:dyDescent="0.2">
      <c r="A29" s="19"/>
      <c r="B29" s="137"/>
      <c r="C29" s="137"/>
      <c r="D29" s="19">
        <v>92742</v>
      </c>
      <c r="E29" s="137" t="s">
        <v>1009</v>
      </c>
      <c r="F29" s="137"/>
      <c r="G29" s="137"/>
      <c r="H29" s="137"/>
      <c r="I29" s="138">
        <v>6670</v>
      </c>
      <c r="J29" s="138"/>
    </row>
    <row r="30" spans="1:10" x14ac:dyDescent="0.2">
      <c r="A30" s="19"/>
      <c r="B30" s="137"/>
      <c r="C30" s="137"/>
      <c r="D30" s="19">
        <v>93896</v>
      </c>
      <c r="E30" s="137" t="s">
        <v>1027</v>
      </c>
      <c r="F30" s="137"/>
      <c r="G30" s="137"/>
      <c r="H30" s="137"/>
      <c r="I30" s="138">
        <v>7635</v>
      </c>
      <c r="J30" s="138"/>
    </row>
    <row r="31" spans="1:10" x14ac:dyDescent="0.2">
      <c r="A31" s="9"/>
      <c r="B31" s="128"/>
      <c r="C31" s="128"/>
      <c r="D31" s="82">
        <v>111079</v>
      </c>
      <c r="E31" s="128"/>
      <c r="F31" s="128"/>
      <c r="G31" s="198" t="s">
        <v>1348</v>
      </c>
      <c r="H31" s="198"/>
      <c r="I31" s="199">
        <v>80850</v>
      </c>
      <c r="J31" s="199"/>
    </row>
    <row r="32" spans="1:10" x14ac:dyDescent="0.2">
      <c r="A32" s="9"/>
      <c r="B32" s="128"/>
      <c r="C32" s="128"/>
      <c r="D32" s="9"/>
      <c r="E32" s="128"/>
      <c r="F32" s="128"/>
      <c r="G32" s="128"/>
      <c r="H32" s="128"/>
      <c r="I32" s="136"/>
      <c r="J32" s="136"/>
    </row>
    <row r="33" spans="1:10" x14ac:dyDescent="0.2">
      <c r="A33" s="9"/>
      <c r="B33" s="128"/>
      <c r="C33" s="128"/>
      <c r="D33" s="9"/>
      <c r="E33" s="128"/>
      <c r="F33" s="128"/>
      <c r="G33" s="128"/>
      <c r="H33" s="128"/>
      <c r="I33" s="136"/>
      <c r="J33" s="136"/>
    </row>
    <row r="34" spans="1:10" ht="13.5" thickBot="1" x14ac:dyDescent="0.25">
      <c r="A34" s="9"/>
      <c r="B34" s="128"/>
      <c r="C34" s="128"/>
      <c r="D34" s="9"/>
      <c r="E34" s="128"/>
      <c r="F34" s="128"/>
      <c r="G34" s="128"/>
      <c r="H34" s="128"/>
      <c r="I34" s="226"/>
      <c r="J34" s="226"/>
    </row>
    <row r="35" spans="1:10" ht="13.5" thickTop="1" x14ac:dyDescent="0.2">
      <c r="A35" s="13"/>
      <c r="B35" s="13"/>
      <c r="C35" s="13"/>
      <c r="D35" s="13"/>
      <c r="E35" s="13"/>
      <c r="F35" s="13"/>
      <c r="G35" s="13"/>
      <c r="H35" s="13" t="s">
        <v>33</v>
      </c>
      <c r="I35" s="140">
        <f>SUM(I25:J34)</f>
        <v>214729.31</v>
      </c>
      <c r="J35" s="140"/>
    </row>
    <row r="36" spans="1:10" x14ac:dyDescent="0.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 x14ac:dyDescent="0.25">
      <c r="A37" s="15" t="s">
        <v>46</v>
      </c>
      <c r="B37" s="16"/>
      <c r="C37" s="16"/>
      <c r="D37" s="16"/>
      <c r="E37" s="16"/>
      <c r="F37" s="16"/>
      <c r="G37" s="16"/>
      <c r="H37" s="16"/>
      <c r="I37" s="149" t="s">
        <v>47</v>
      </c>
      <c r="J37" s="150"/>
    </row>
    <row r="38" spans="1:10" x14ac:dyDescent="0.2">
      <c r="A38" s="144" t="s">
        <v>48</v>
      </c>
      <c r="B38" s="144"/>
      <c r="C38" s="144"/>
      <c r="D38" s="144"/>
      <c r="E38" s="144"/>
      <c r="F38" s="144"/>
      <c r="G38" s="144"/>
      <c r="H38" s="144"/>
      <c r="I38" s="148">
        <f>I20*80%</f>
        <v>2513908.5440000002</v>
      </c>
      <c r="J38" s="148"/>
    </row>
    <row r="39" spans="1:10" x14ac:dyDescent="0.2">
      <c r="A39" s="144" t="s">
        <v>49</v>
      </c>
      <c r="B39" s="144"/>
      <c r="C39" s="144"/>
      <c r="D39" s="144"/>
      <c r="E39" s="144"/>
      <c r="F39" s="144"/>
      <c r="G39" s="144"/>
      <c r="H39" s="144"/>
      <c r="I39" s="184">
        <f>I34</f>
        <v>0</v>
      </c>
      <c r="J39" s="184"/>
    </row>
    <row r="40" spans="1:10" x14ac:dyDescent="0.2">
      <c r="A40" s="144" t="s">
        <v>903</v>
      </c>
      <c r="B40" s="144"/>
      <c r="C40" s="144"/>
      <c r="D40" s="144"/>
      <c r="E40" s="144"/>
      <c r="F40" s="144"/>
      <c r="G40" s="144"/>
      <c r="H40" s="144"/>
      <c r="I40" s="184">
        <v>181818.18</v>
      </c>
      <c r="J40" s="184"/>
    </row>
    <row r="41" spans="1:10" x14ac:dyDescent="0.2">
      <c r="A41" s="144" t="s">
        <v>929</v>
      </c>
      <c r="B41" s="144"/>
      <c r="C41" s="144"/>
      <c r="D41" s="144"/>
      <c r="E41" s="144"/>
      <c r="F41" s="144"/>
      <c r="G41" s="144"/>
      <c r="H41" s="144"/>
      <c r="I41" s="184">
        <v>140000</v>
      </c>
      <c r="J41" s="184"/>
    </row>
    <row r="42" spans="1:10" x14ac:dyDescent="0.2">
      <c r="A42" s="231" t="s">
        <v>987</v>
      </c>
      <c r="B42" s="144"/>
      <c r="C42" s="144"/>
      <c r="D42" s="144"/>
      <c r="E42" s="144"/>
      <c r="F42" s="144"/>
      <c r="G42" s="144"/>
      <c r="H42" s="144"/>
      <c r="I42" s="184">
        <v>100000</v>
      </c>
      <c r="J42" s="184"/>
    </row>
    <row r="43" spans="1:10" x14ac:dyDescent="0.2">
      <c r="A43" s="231" t="s">
        <v>1001</v>
      </c>
      <c r="B43" s="144"/>
      <c r="C43" s="144"/>
      <c r="D43" s="144"/>
      <c r="E43" s="144"/>
      <c r="F43" s="144"/>
      <c r="G43" s="144"/>
      <c r="H43" s="144"/>
      <c r="I43" s="184">
        <v>70000</v>
      </c>
      <c r="J43" s="184"/>
    </row>
    <row r="44" spans="1:10" x14ac:dyDescent="0.2">
      <c r="A44" s="231" t="s">
        <v>1092</v>
      </c>
      <c r="B44" s="144"/>
      <c r="C44" s="144"/>
      <c r="D44" s="144"/>
      <c r="E44" s="144"/>
      <c r="F44" s="144"/>
      <c r="G44" s="144"/>
      <c r="H44" s="144"/>
      <c r="I44" s="184">
        <v>175000</v>
      </c>
      <c r="J44" s="184"/>
    </row>
    <row r="45" spans="1:10" x14ac:dyDescent="0.2">
      <c r="A45" s="231" t="s">
        <v>1094</v>
      </c>
      <c r="B45" s="144"/>
      <c r="C45" s="144"/>
      <c r="D45" s="144"/>
      <c r="E45" s="144"/>
      <c r="F45" s="144"/>
      <c r="G45" s="144"/>
      <c r="H45" s="144"/>
      <c r="I45" s="184">
        <v>175000</v>
      </c>
      <c r="J45" s="184"/>
    </row>
    <row r="46" spans="1:10" x14ac:dyDescent="0.2">
      <c r="A46" s="231" t="s">
        <v>1124</v>
      </c>
      <c r="B46" s="144"/>
      <c r="C46" s="144"/>
      <c r="D46" s="144"/>
      <c r="E46" s="144"/>
      <c r="F46" s="144"/>
      <c r="G46" s="144"/>
      <c r="H46" s="144"/>
      <c r="I46" s="184">
        <v>190000</v>
      </c>
      <c r="J46" s="184"/>
    </row>
    <row r="47" spans="1:10" x14ac:dyDescent="0.2">
      <c r="A47" s="231" t="s">
        <v>1177</v>
      </c>
      <c r="B47" s="144"/>
      <c r="C47" s="144"/>
      <c r="D47" s="144"/>
      <c r="E47" s="144"/>
      <c r="F47" s="144"/>
      <c r="G47" s="144"/>
      <c r="H47" s="144"/>
      <c r="I47" s="184">
        <v>80000</v>
      </c>
      <c r="J47" s="184"/>
    </row>
    <row r="48" spans="1:10" x14ac:dyDescent="0.2">
      <c r="A48" s="134" t="s">
        <v>1237</v>
      </c>
      <c r="B48" s="134"/>
      <c r="C48" s="134"/>
      <c r="D48" s="134"/>
      <c r="E48" s="134"/>
      <c r="F48" s="134"/>
      <c r="G48" s="134"/>
      <c r="H48" s="134"/>
      <c r="I48" s="135">
        <v>50367</v>
      </c>
      <c r="J48" s="135"/>
    </row>
    <row r="49" spans="1:10" x14ac:dyDescent="0.2">
      <c r="A49" s="134" t="s">
        <v>1408</v>
      </c>
      <c r="B49" s="134"/>
      <c r="C49" s="134"/>
      <c r="D49" s="134"/>
      <c r="E49" s="134"/>
      <c r="F49" s="134"/>
      <c r="G49" s="134"/>
      <c r="H49" s="134"/>
      <c r="I49" s="135">
        <v>83615.78</v>
      </c>
      <c r="J49" s="135"/>
    </row>
    <row r="50" spans="1:10" x14ac:dyDescent="0.2">
      <c r="A50" s="231" t="s">
        <v>1250</v>
      </c>
      <c r="B50" s="231"/>
      <c r="C50" s="231"/>
      <c r="D50" s="231"/>
      <c r="E50" s="231"/>
      <c r="F50" s="231"/>
      <c r="G50" s="231"/>
      <c r="H50" s="231"/>
      <c r="I50" s="254">
        <v>110000</v>
      </c>
      <c r="J50" s="254"/>
    </row>
    <row r="51" spans="1:10" x14ac:dyDescent="0.2">
      <c r="A51" s="144" t="s">
        <v>1595</v>
      </c>
      <c r="B51" s="144"/>
      <c r="C51" s="144"/>
      <c r="D51" s="144"/>
      <c r="E51" s="144"/>
      <c r="F51" s="144"/>
      <c r="G51" s="144"/>
      <c r="H51" s="144"/>
      <c r="I51" s="184">
        <v>290000</v>
      </c>
      <c r="J51" s="184"/>
    </row>
    <row r="52" spans="1:10" x14ac:dyDescent="0.2">
      <c r="A52" s="231"/>
      <c r="B52" s="144"/>
      <c r="C52" s="144"/>
      <c r="D52" s="144"/>
      <c r="E52" s="144"/>
      <c r="F52" s="144"/>
      <c r="G52" s="144"/>
      <c r="H52" s="144"/>
      <c r="I52" s="184"/>
      <c r="J52" s="184"/>
    </row>
    <row r="53" spans="1:10" ht="13.5" thickBot="1" x14ac:dyDescent="0.25">
      <c r="A53" s="144" t="s">
        <v>50</v>
      </c>
      <c r="B53" s="144"/>
      <c r="C53" s="144"/>
      <c r="D53" s="144"/>
      <c r="E53" s="144"/>
      <c r="F53" s="144"/>
      <c r="G53" s="144"/>
      <c r="H53" s="144"/>
      <c r="I53" s="145">
        <f>I35</f>
        <v>214729.31</v>
      </c>
      <c r="J53" s="145"/>
    </row>
    <row r="54" spans="1:10" ht="13.5" thickTop="1" x14ac:dyDescent="0.2">
      <c r="H54" s="18" t="s">
        <v>33</v>
      </c>
      <c r="I54" s="129">
        <f>I38+I39-I40-I41-I42-I43-I44-I45-I46-I47-I48-I49-I50-I51-I53</f>
        <v>653378.27399999998</v>
      </c>
      <c r="J54" s="130"/>
    </row>
    <row r="56" spans="1:10" ht="15" x14ac:dyDescent="0.25">
      <c r="A56" s="131" t="s">
        <v>51</v>
      </c>
      <c r="B56" s="132"/>
      <c r="C56" s="132"/>
      <c r="D56" s="132"/>
      <c r="E56" s="132"/>
      <c r="F56" s="132"/>
      <c r="G56" s="132"/>
      <c r="H56" s="132"/>
      <c r="I56" s="132"/>
      <c r="J56" s="133"/>
    </row>
    <row r="57" spans="1:10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</row>
    <row r="59" spans="1:10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</row>
    <row r="60" spans="1:10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</row>
    <row r="61" spans="1:10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</row>
    <row r="62" spans="1:10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</row>
  </sheetData>
  <mergeCells count="135">
    <mergeCell ref="G15:H15"/>
    <mergeCell ref="B16:C16"/>
    <mergeCell ref="D16:E16"/>
    <mergeCell ref="G16:H16"/>
    <mergeCell ref="I52:J52"/>
    <mergeCell ref="E32:F32"/>
    <mergeCell ref="B31:C31"/>
    <mergeCell ref="E31:F31"/>
    <mergeCell ref="G31:H31"/>
    <mergeCell ref="B29:C29"/>
    <mergeCell ref="E29:F29"/>
    <mergeCell ref="G29:H29"/>
    <mergeCell ref="G32:H32"/>
    <mergeCell ref="E28:F28"/>
    <mergeCell ref="G28:H28"/>
    <mergeCell ref="I28:J28"/>
    <mergeCell ref="D23:D24"/>
    <mergeCell ref="E23:F24"/>
    <mergeCell ref="G23:H24"/>
    <mergeCell ref="I32:J32"/>
    <mergeCell ref="A22:J22"/>
    <mergeCell ref="I48:J48"/>
    <mergeCell ref="D18:E18"/>
    <mergeCell ref="G18:H18"/>
    <mergeCell ref="A57:J62"/>
    <mergeCell ref="A39:H39"/>
    <mergeCell ref="I39:J39"/>
    <mergeCell ref="A53:H53"/>
    <mergeCell ref="I53:J53"/>
    <mergeCell ref="A40:H40"/>
    <mergeCell ref="I41:J41"/>
    <mergeCell ref="A41:H41"/>
    <mergeCell ref="I43:J43"/>
    <mergeCell ref="I42:J42"/>
    <mergeCell ref="A50:H50"/>
    <mergeCell ref="I50:J50"/>
    <mergeCell ref="A44:H44"/>
    <mergeCell ref="A43:H43"/>
    <mergeCell ref="I44:J44"/>
    <mergeCell ref="A45:H45"/>
    <mergeCell ref="I45:J45"/>
    <mergeCell ref="A49:H49"/>
    <mergeCell ref="A56:J56"/>
    <mergeCell ref="I47:J47"/>
    <mergeCell ref="A48:H48"/>
    <mergeCell ref="A52:H52"/>
    <mergeCell ref="I49:J49"/>
    <mergeCell ref="I46:J46"/>
    <mergeCell ref="I54:J54"/>
    <mergeCell ref="A46:H46"/>
    <mergeCell ref="I30:J30"/>
    <mergeCell ref="B27:C27"/>
    <mergeCell ref="E27:F27"/>
    <mergeCell ref="G27:H27"/>
    <mergeCell ref="I27:J27"/>
    <mergeCell ref="B28:C28"/>
    <mergeCell ref="A42:H42"/>
    <mergeCell ref="A47:H47"/>
    <mergeCell ref="I31:J31"/>
    <mergeCell ref="E30:F30"/>
    <mergeCell ref="G30:H30"/>
    <mergeCell ref="A51:H51"/>
    <mergeCell ref="I51:J51"/>
    <mergeCell ref="B26:C26"/>
    <mergeCell ref="E26:F26"/>
    <mergeCell ref="G26:H26"/>
    <mergeCell ref="B19:C19"/>
    <mergeCell ref="D19:E19"/>
    <mergeCell ref="G19:H19"/>
    <mergeCell ref="I26:J26"/>
    <mergeCell ref="B18:C18"/>
    <mergeCell ref="G9:H9"/>
    <mergeCell ref="B12:C12"/>
    <mergeCell ref="D12:E12"/>
    <mergeCell ref="B10:C10"/>
    <mergeCell ref="D10:E10"/>
    <mergeCell ref="G10:H10"/>
    <mergeCell ref="B13:C13"/>
    <mergeCell ref="I23:J24"/>
    <mergeCell ref="B17:C17"/>
    <mergeCell ref="D17:E17"/>
    <mergeCell ref="G17:H17"/>
    <mergeCell ref="G12:H12"/>
    <mergeCell ref="B11:C11"/>
    <mergeCell ref="D11:E11"/>
    <mergeCell ref="G11:H11"/>
    <mergeCell ref="B9:C9"/>
    <mergeCell ref="D9:E9"/>
    <mergeCell ref="D14:E14"/>
    <mergeCell ref="G14:H14"/>
    <mergeCell ref="G13:H13"/>
    <mergeCell ref="B14:C14"/>
    <mergeCell ref="D13:E13"/>
    <mergeCell ref="B15:C15"/>
    <mergeCell ref="D15:E15"/>
    <mergeCell ref="A3:J3"/>
    <mergeCell ref="A4:A5"/>
    <mergeCell ref="B4:E4"/>
    <mergeCell ref="F4:F5"/>
    <mergeCell ref="G4:H5"/>
    <mergeCell ref="J4:J5"/>
    <mergeCell ref="B6:C6"/>
    <mergeCell ref="D6:E6"/>
    <mergeCell ref="G6:H6"/>
    <mergeCell ref="B8:C8"/>
    <mergeCell ref="D8:E8"/>
    <mergeCell ref="G8:H8"/>
    <mergeCell ref="B5:C5"/>
    <mergeCell ref="D5:E5"/>
    <mergeCell ref="I4:I5"/>
    <mergeCell ref="B7:C7"/>
    <mergeCell ref="D7:E7"/>
    <mergeCell ref="G7:H7"/>
    <mergeCell ref="A23:A24"/>
    <mergeCell ref="B23:C24"/>
    <mergeCell ref="I34:J34"/>
    <mergeCell ref="I40:J40"/>
    <mergeCell ref="A38:H38"/>
    <mergeCell ref="I38:J38"/>
    <mergeCell ref="B34:C34"/>
    <mergeCell ref="I35:J35"/>
    <mergeCell ref="I37:J37"/>
    <mergeCell ref="E34:F34"/>
    <mergeCell ref="G34:H34"/>
    <mergeCell ref="B25:C25"/>
    <mergeCell ref="E25:F25"/>
    <mergeCell ref="G25:H25"/>
    <mergeCell ref="I25:J25"/>
    <mergeCell ref="B33:C33"/>
    <mergeCell ref="E33:F33"/>
    <mergeCell ref="G33:H33"/>
    <mergeCell ref="I33:J33"/>
    <mergeCell ref="B32:C32"/>
    <mergeCell ref="I29:J29"/>
    <mergeCell ref="B30:C30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">
    <pageSetUpPr fitToPage="1"/>
  </sheetPr>
  <dimension ref="A1:J45"/>
  <sheetViews>
    <sheetView topLeftCell="A10" workbookViewId="0">
      <selection activeCell="A34" sqref="A34:XFD34"/>
    </sheetView>
  </sheetViews>
  <sheetFormatPr defaultRowHeight="12.75" x14ac:dyDescent="0.2"/>
  <cols>
    <col min="6" max="6" width="12.28515625" customWidth="1"/>
    <col min="8" max="8" width="11.7109375" customWidth="1"/>
    <col min="9" max="9" width="11.14062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865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2735288</v>
      </c>
      <c r="C6" s="128"/>
      <c r="D6" s="128">
        <v>2735458</v>
      </c>
      <c r="E6" s="128"/>
      <c r="F6" s="12">
        <v>40332</v>
      </c>
      <c r="G6" s="169"/>
      <c r="H6" s="169"/>
      <c r="I6" s="32">
        <v>77164.06</v>
      </c>
      <c r="J6" s="32">
        <f t="shared" ref="J6:J12" si="0">I6*0.8</f>
        <v>61731.248</v>
      </c>
    </row>
    <row r="7" spans="1:10" x14ac:dyDescent="0.2">
      <c r="A7" s="9">
        <v>2</v>
      </c>
      <c r="B7" s="128">
        <v>2743000</v>
      </c>
      <c r="C7" s="128"/>
      <c r="D7" s="128">
        <v>2743183</v>
      </c>
      <c r="E7" s="128"/>
      <c r="F7" s="12">
        <v>40729</v>
      </c>
      <c r="G7" s="169"/>
      <c r="H7" s="169"/>
      <c r="I7" s="32">
        <v>51397.81</v>
      </c>
      <c r="J7" s="32">
        <f t="shared" si="0"/>
        <v>41118.248</v>
      </c>
    </row>
    <row r="8" spans="1:10" x14ac:dyDescent="0.2">
      <c r="A8" s="9">
        <v>3</v>
      </c>
      <c r="B8" s="128">
        <v>2734737</v>
      </c>
      <c r="C8" s="128"/>
      <c r="D8" s="128">
        <v>2734796</v>
      </c>
      <c r="E8" s="128"/>
      <c r="F8" s="12">
        <v>40869</v>
      </c>
      <c r="G8" s="169"/>
      <c r="H8" s="169"/>
      <c r="I8" s="32">
        <v>62557.58</v>
      </c>
      <c r="J8" s="32">
        <f t="shared" si="0"/>
        <v>50046.064000000006</v>
      </c>
    </row>
    <row r="9" spans="1:10" x14ac:dyDescent="0.2">
      <c r="A9" s="9">
        <v>4</v>
      </c>
      <c r="B9" s="128">
        <v>2737418</v>
      </c>
      <c r="C9" s="128"/>
      <c r="D9" s="128">
        <v>2737353</v>
      </c>
      <c r="E9" s="128"/>
      <c r="F9" s="12">
        <v>40946</v>
      </c>
      <c r="G9" s="169"/>
      <c r="H9" s="169"/>
      <c r="I9" s="32">
        <v>14530.21</v>
      </c>
      <c r="J9" s="32">
        <f t="shared" si="0"/>
        <v>11624.168</v>
      </c>
    </row>
    <row r="10" spans="1:10" x14ac:dyDescent="0.2">
      <c r="A10" s="9">
        <v>5</v>
      </c>
      <c r="B10" s="128">
        <v>2737493</v>
      </c>
      <c r="C10" s="128"/>
      <c r="D10" s="128">
        <v>2737582</v>
      </c>
      <c r="E10" s="128"/>
      <c r="F10" s="12">
        <v>40969</v>
      </c>
      <c r="G10" s="169"/>
      <c r="H10" s="169"/>
      <c r="I10" s="32">
        <v>18241.689999999999</v>
      </c>
      <c r="J10" s="32">
        <f t="shared" si="0"/>
        <v>14593.351999999999</v>
      </c>
    </row>
    <row r="11" spans="1:10" x14ac:dyDescent="0.2">
      <c r="A11" s="9">
        <v>6</v>
      </c>
      <c r="B11" s="128">
        <v>2737450</v>
      </c>
      <c r="C11" s="128"/>
      <c r="D11" s="128">
        <v>2737590</v>
      </c>
      <c r="E11" s="128"/>
      <c r="F11" s="12">
        <v>41604</v>
      </c>
      <c r="G11" s="169"/>
      <c r="H11" s="169"/>
      <c r="I11" s="32">
        <v>53206.01</v>
      </c>
      <c r="J11" s="32">
        <f t="shared" si="0"/>
        <v>42564.808000000005</v>
      </c>
    </row>
    <row r="12" spans="1:10" x14ac:dyDescent="0.2">
      <c r="A12" s="9">
        <v>7</v>
      </c>
      <c r="B12" s="128">
        <v>2735822</v>
      </c>
      <c r="C12" s="128"/>
      <c r="D12" s="230" t="s">
        <v>1165</v>
      </c>
      <c r="E12" s="128"/>
      <c r="F12" s="12">
        <v>42233</v>
      </c>
      <c r="G12" s="255" t="s">
        <v>1166</v>
      </c>
      <c r="H12" s="169"/>
      <c r="I12" s="32">
        <v>38347.949999999997</v>
      </c>
      <c r="J12" s="32">
        <f t="shared" si="0"/>
        <v>30678.36</v>
      </c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9"/>
      <c r="B14" s="128"/>
      <c r="C14" s="128"/>
      <c r="D14" s="128"/>
      <c r="E14" s="128"/>
      <c r="F14" s="12"/>
      <c r="G14" s="169"/>
      <c r="H14" s="169"/>
      <c r="I14" s="32"/>
      <c r="J14" s="32"/>
    </row>
    <row r="15" spans="1:10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33">
        <f>SUM(I6:I14)</f>
        <v>315445.31</v>
      </c>
      <c r="J15" s="33">
        <f>SUM(J6:J14)</f>
        <v>252356.24800000002</v>
      </c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31" t="s">
        <v>34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x14ac:dyDescent="0.2">
      <c r="A18" s="169" t="s">
        <v>23</v>
      </c>
      <c r="B18" s="169" t="s">
        <v>35</v>
      </c>
      <c r="C18" s="169"/>
      <c r="D18" s="169" t="s">
        <v>36</v>
      </c>
      <c r="E18" s="169" t="s">
        <v>37</v>
      </c>
      <c r="F18" s="169"/>
      <c r="G18" s="169" t="s">
        <v>38</v>
      </c>
      <c r="H18" s="169"/>
      <c r="I18" s="169" t="s">
        <v>39</v>
      </c>
      <c r="J18" s="169"/>
    </row>
    <row r="19" spans="1:10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x14ac:dyDescent="0.2">
      <c r="A20" s="19"/>
      <c r="B20" s="137"/>
      <c r="C20" s="137"/>
      <c r="D20" s="19">
        <v>87270</v>
      </c>
      <c r="E20" s="137" t="s">
        <v>864</v>
      </c>
      <c r="F20" s="137"/>
      <c r="G20" s="137"/>
      <c r="H20" s="137"/>
      <c r="I20" s="138">
        <v>26383.4</v>
      </c>
      <c r="J20" s="138"/>
    </row>
    <row r="21" spans="1:10" x14ac:dyDescent="0.2">
      <c r="A21" s="19"/>
      <c r="B21" s="227"/>
      <c r="C21" s="228"/>
      <c r="D21" s="19">
        <v>87371</v>
      </c>
      <c r="E21" s="162">
        <v>42675</v>
      </c>
      <c r="F21" s="165"/>
      <c r="G21" s="137" t="s">
        <v>894</v>
      </c>
      <c r="H21" s="137"/>
      <c r="I21" s="138">
        <v>216752.4</v>
      </c>
      <c r="J21" s="138"/>
    </row>
    <row r="22" spans="1:10" x14ac:dyDescent="0.2">
      <c r="A22" s="19"/>
      <c r="B22" s="164"/>
      <c r="C22" s="165"/>
      <c r="D22" s="19">
        <v>101642</v>
      </c>
      <c r="E22" s="162">
        <v>43493</v>
      </c>
      <c r="F22" s="165"/>
      <c r="G22" s="137" t="s">
        <v>1171</v>
      </c>
      <c r="H22" s="137"/>
      <c r="I22" s="138">
        <v>52334.25</v>
      </c>
      <c r="J22" s="138"/>
    </row>
    <row r="23" spans="1:10" x14ac:dyDescent="0.2">
      <c r="A23" s="19"/>
      <c r="B23" s="137"/>
      <c r="C23" s="137"/>
      <c r="D23" s="19">
        <v>101644</v>
      </c>
      <c r="E23" s="196">
        <v>43493</v>
      </c>
      <c r="F23" s="137"/>
      <c r="G23" s="137" t="s">
        <v>1312</v>
      </c>
      <c r="H23" s="137"/>
      <c r="I23" s="138">
        <v>52314.75</v>
      </c>
      <c r="J23" s="138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136"/>
      <c r="J24" s="136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SUM(I20:J27)</f>
        <v>347784.8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I15*80%</f>
        <v>252356.24800000002</v>
      </c>
      <c r="J31" s="148"/>
    </row>
    <row r="32" spans="1:10" x14ac:dyDescent="0.2">
      <c r="A32" s="144" t="s">
        <v>49</v>
      </c>
      <c r="B32" s="144"/>
      <c r="C32" s="144"/>
      <c r="D32" s="144"/>
      <c r="E32" s="144"/>
      <c r="F32" s="144"/>
      <c r="G32" s="144"/>
      <c r="H32" s="144"/>
      <c r="I32" s="184">
        <f>I26</f>
        <v>0</v>
      </c>
      <c r="J32" s="184"/>
    </row>
    <row r="33" spans="1:10" x14ac:dyDescent="0.2">
      <c r="A33" s="258" t="s">
        <v>1617</v>
      </c>
      <c r="B33" s="144"/>
      <c r="C33" s="144"/>
      <c r="D33" s="144"/>
      <c r="E33" s="144"/>
      <c r="F33" s="144"/>
      <c r="G33" s="144"/>
      <c r="H33" s="144"/>
      <c r="I33" s="184">
        <v>50000</v>
      </c>
      <c r="J33" s="184"/>
    </row>
    <row r="34" spans="1:10" x14ac:dyDescent="0.2">
      <c r="A34" s="231" t="s">
        <v>1169</v>
      </c>
      <c r="B34" s="144"/>
      <c r="C34" s="144"/>
      <c r="D34" s="144"/>
      <c r="E34" s="144"/>
      <c r="F34" s="144"/>
      <c r="G34" s="144"/>
      <c r="H34" s="144"/>
      <c r="I34" s="184">
        <v>60000</v>
      </c>
      <c r="J34" s="184"/>
    </row>
    <row r="35" spans="1:10" x14ac:dyDescent="0.2">
      <c r="A35" s="231" t="s">
        <v>1196</v>
      </c>
      <c r="B35" s="144"/>
      <c r="C35" s="144"/>
      <c r="D35" s="144"/>
      <c r="E35" s="144"/>
      <c r="F35" s="144"/>
      <c r="G35" s="144"/>
      <c r="H35" s="144"/>
      <c r="I35" s="184">
        <v>15000</v>
      </c>
      <c r="J35" s="184"/>
    </row>
    <row r="36" spans="1:10" ht="13.5" thickBot="1" x14ac:dyDescent="0.25">
      <c r="A36" s="144" t="s">
        <v>50</v>
      </c>
      <c r="B36" s="144"/>
      <c r="C36" s="144"/>
      <c r="D36" s="144"/>
      <c r="E36" s="144"/>
      <c r="F36" s="144"/>
      <c r="G36" s="144"/>
      <c r="H36" s="144"/>
      <c r="I36" s="145">
        <f>I28</f>
        <v>347784.8</v>
      </c>
      <c r="J36" s="145"/>
    </row>
    <row r="37" spans="1:10" ht="13.5" thickTop="1" x14ac:dyDescent="0.2">
      <c r="H37" s="18" t="s">
        <v>33</v>
      </c>
      <c r="I37" s="129">
        <f>I31+I32+I33+I34+I35-I36</f>
        <v>29571.448000000033</v>
      </c>
      <c r="J37" s="130"/>
    </row>
    <row r="39" spans="1:10" ht="15" x14ac:dyDescent="0.25">
      <c r="A39" s="131" t="s">
        <v>51</v>
      </c>
      <c r="B39" s="132"/>
      <c r="C39" s="132"/>
      <c r="D39" s="132"/>
      <c r="E39" s="132"/>
      <c r="F39" s="132"/>
      <c r="G39" s="132"/>
      <c r="H39" s="132"/>
      <c r="I39" s="132"/>
      <c r="J39" s="133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</sheetData>
  <mergeCells count="92"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8:C8"/>
    <mergeCell ref="D8:E8"/>
    <mergeCell ref="G8:H8"/>
    <mergeCell ref="B7:C7"/>
    <mergeCell ref="D7:E7"/>
    <mergeCell ref="G7:H7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A17:J17"/>
    <mergeCell ref="A18:A19"/>
    <mergeCell ref="B18:C19"/>
    <mergeCell ref="D18:D19"/>
    <mergeCell ref="E18:F19"/>
    <mergeCell ref="G18:H19"/>
    <mergeCell ref="I18:J19"/>
    <mergeCell ref="I22:J22"/>
    <mergeCell ref="G21:H21"/>
    <mergeCell ref="B20:C20"/>
    <mergeCell ref="E20:F20"/>
    <mergeCell ref="G20:H20"/>
    <mergeCell ref="I20:J20"/>
    <mergeCell ref="E21:F21"/>
    <mergeCell ref="I31:J31"/>
    <mergeCell ref="A32:H32"/>
    <mergeCell ref="I32:J32"/>
    <mergeCell ref="I21:J21"/>
    <mergeCell ref="B21:C21"/>
    <mergeCell ref="B24:C24"/>
    <mergeCell ref="E24:F24"/>
    <mergeCell ref="G24:H24"/>
    <mergeCell ref="I24:J24"/>
    <mergeCell ref="B23:C23"/>
    <mergeCell ref="E23:F23"/>
    <mergeCell ref="G23:H23"/>
    <mergeCell ref="I23:J23"/>
    <mergeCell ref="B22:C22"/>
    <mergeCell ref="E22:F22"/>
    <mergeCell ref="G22:H22"/>
    <mergeCell ref="A39:J39"/>
    <mergeCell ref="A40:J45"/>
    <mergeCell ref="A33:H33"/>
    <mergeCell ref="I33:J33"/>
    <mergeCell ref="A36:H36"/>
    <mergeCell ref="I36:J36"/>
    <mergeCell ref="A34:H34"/>
    <mergeCell ref="I34:J34"/>
    <mergeCell ref="A35:H35"/>
    <mergeCell ref="I35:J35"/>
    <mergeCell ref="B25:C25"/>
    <mergeCell ref="E25:F25"/>
    <mergeCell ref="G25:H25"/>
    <mergeCell ref="I25:J25"/>
    <mergeCell ref="I37:J37"/>
    <mergeCell ref="B26:C26"/>
    <mergeCell ref="E26:F26"/>
    <mergeCell ref="G26:H26"/>
    <mergeCell ref="I26:J26"/>
    <mergeCell ref="I30:J30"/>
    <mergeCell ref="I28:J28"/>
    <mergeCell ref="B27:C27"/>
    <mergeCell ref="E27:F27"/>
    <mergeCell ref="G27:H27"/>
    <mergeCell ref="I27:J27"/>
    <mergeCell ref="A31:H31"/>
  </mergeCells>
  <phoneticPr fontId="6" type="noConversion"/>
  <pageMargins left="0.75" right="0.75" top="1" bottom="1" header="0.5" footer="0.5"/>
  <pageSetup scale="8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pageSetUpPr fitToPage="1"/>
  </sheetPr>
  <dimension ref="A1:K61"/>
  <sheetViews>
    <sheetView topLeftCell="A28" workbookViewId="0">
      <selection activeCell="I41" sqref="I41:J41"/>
    </sheetView>
  </sheetViews>
  <sheetFormatPr defaultRowHeight="12.75" x14ac:dyDescent="0.2"/>
  <cols>
    <col min="6" max="6" width="16.42578125" bestFit="1" customWidth="1"/>
    <col min="8" max="8" width="13.140625" customWidth="1"/>
    <col min="9" max="9" width="11.7109375" bestFit="1" customWidth="1"/>
    <col min="10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353</v>
      </c>
      <c r="B2" s="6"/>
      <c r="C2" s="6"/>
      <c r="D2" s="6"/>
      <c r="E2" s="6"/>
      <c r="F2" s="6"/>
      <c r="G2" s="6"/>
      <c r="H2" s="6"/>
      <c r="I2" s="6"/>
      <c r="J2" s="7" t="s">
        <v>354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234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76"/>
    </row>
    <row r="6" spans="1:11" x14ac:dyDescent="0.2">
      <c r="A6" s="9">
        <v>1</v>
      </c>
      <c r="B6" s="128">
        <v>2832046</v>
      </c>
      <c r="C6" s="128"/>
      <c r="D6" s="128">
        <v>2831414</v>
      </c>
      <c r="E6" s="128"/>
      <c r="F6" s="12">
        <v>33634</v>
      </c>
      <c r="G6" s="169" t="s">
        <v>355</v>
      </c>
      <c r="H6" s="169"/>
      <c r="I6" s="32">
        <v>81467.320000000007</v>
      </c>
      <c r="J6" s="40">
        <f>I6*0.8</f>
        <v>65173.856000000007</v>
      </c>
    </row>
    <row r="7" spans="1:11" x14ac:dyDescent="0.2">
      <c r="A7" s="9">
        <v>2</v>
      </c>
      <c r="B7" s="128">
        <v>2831384</v>
      </c>
      <c r="C7" s="128"/>
      <c r="D7" s="128">
        <v>2831023</v>
      </c>
      <c r="E7" s="128"/>
      <c r="F7" s="12">
        <v>33634</v>
      </c>
      <c r="G7" s="169" t="s">
        <v>356</v>
      </c>
      <c r="H7" s="169"/>
      <c r="I7" s="32">
        <v>320901.33</v>
      </c>
      <c r="J7" s="40">
        <f t="shared" ref="J7:J23" si="0">I7*0.8</f>
        <v>256721.06400000001</v>
      </c>
    </row>
    <row r="8" spans="1:11" x14ac:dyDescent="0.2">
      <c r="A8" s="9">
        <v>3</v>
      </c>
      <c r="B8" s="128">
        <v>2830760</v>
      </c>
      <c r="C8" s="128"/>
      <c r="D8" s="128">
        <v>2830140</v>
      </c>
      <c r="E8" s="128"/>
      <c r="F8" s="12">
        <v>33682</v>
      </c>
      <c r="G8" s="169" t="s">
        <v>357</v>
      </c>
      <c r="H8" s="169"/>
      <c r="I8" s="32">
        <v>121139.89</v>
      </c>
      <c r="J8" s="40">
        <f t="shared" si="0"/>
        <v>96911.912000000011</v>
      </c>
    </row>
    <row r="9" spans="1:11" x14ac:dyDescent="0.2">
      <c r="A9" s="9">
        <v>4</v>
      </c>
      <c r="B9" s="128">
        <v>2831058</v>
      </c>
      <c r="C9" s="128"/>
      <c r="D9" s="128">
        <v>2831058</v>
      </c>
      <c r="E9" s="128"/>
      <c r="F9" s="12">
        <v>34092</v>
      </c>
      <c r="G9" s="169" t="s">
        <v>358</v>
      </c>
      <c r="H9" s="169"/>
      <c r="I9" s="32">
        <v>146905.20000000001</v>
      </c>
      <c r="J9" s="40">
        <f t="shared" si="0"/>
        <v>117524.16000000002</v>
      </c>
    </row>
    <row r="10" spans="1:11" x14ac:dyDescent="0.2">
      <c r="A10" s="9">
        <v>5</v>
      </c>
      <c r="B10" s="128">
        <v>2831449</v>
      </c>
      <c r="C10" s="128"/>
      <c r="D10" s="128">
        <v>2831589</v>
      </c>
      <c r="E10" s="128"/>
      <c r="F10" s="12">
        <v>34242</v>
      </c>
      <c r="G10" s="169" t="s">
        <v>359</v>
      </c>
      <c r="H10" s="169"/>
      <c r="I10" s="32">
        <v>55850</v>
      </c>
      <c r="J10" s="40">
        <f t="shared" si="0"/>
        <v>44680</v>
      </c>
    </row>
    <row r="11" spans="1:11" x14ac:dyDescent="0.2">
      <c r="A11" s="9">
        <v>6</v>
      </c>
      <c r="B11" s="128">
        <v>2831444</v>
      </c>
      <c r="C11" s="128"/>
      <c r="D11" s="128">
        <v>2831171</v>
      </c>
      <c r="E11" s="128"/>
      <c r="F11" s="12">
        <v>34242</v>
      </c>
      <c r="G11" s="169" t="s">
        <v>360</v>
      </c>
      <c r="H11" s="169"/>
      <c r="I11" s="32">
        <v>62343.12</v>
      </c>
      <c r="J11" s="40">
        <f t="shared" si="0"/>
        <v>49874.496000000006</v>
      </c>
    </row>
    <row r="12" spans="1:11" x14ac:dyDescent="0.2">
      <c r="A12" s="9">
        <v>7</v>
      </c>
      <c r="B12" s="128">
        <v>2831260</v>
      </c>
      <c r="C12" s="128"/>
      <c r="D12" s="128">
        <v>2831260</v>
      </c>
      <c r="E12" s="128"/>
      <c r="F12" s="12">
        <v>34991</v>
      </c>
      <c r="G12" s="169" t="s">
        <v>361</v>
      </c>
      <c r="H12" s="169"/>
      <c r="I12" s="32">
        <v>67387.02</v>
      </c>
      <c r="J12" s="40">
        <f t="shared" si="0"/>
        <v>53909.616000000009</v>
      </c>
    </row>
    <row r="13" spans="1:11" x14ac:dyDescent="0.2">
      <c r="A13" s="9">
        <v>8</v>
      </c>
      <c r="B13" s="128">
        <v>2831198</v>
      </c>
      <c r="C13" s="128"/>
      <c r="D13" s="128">
        <v>2831198</v>
      </c>
      <c r="E13" s="128"/>
      <c r="F13" s="12">
        <v>34991</v>
      </c>
      <c r="G13" s="169" t="s">
        <v>362</v>
      </c>
      <c r="H13" s="169"/>
      <c r="I13" s="32">
        <v>52605.66</v>
      </c>
      <c r="J13" s="40">
        <f t="shared" si="0"/>
        <v>42084.528000000006</v>
      </c>
    </row>
    <row r="14" spans="1:11" x14ac:dyDescent="0.2">
      <c r="A14" s="9">
        <v>9</v>
      </c>
      <c r="B14" s="128">
        <v>2831074</v>
      </c>
      <c r="C14" s="128"/>
      <c r="D14" s="128">
        <v>2831074</v>
      </c>
      <c r="E14" s="128"/>
      <c r="F14" s="12">
        <v>34991</v>
      </c>
      <c r="G14" s="169" t="s">
        <v>363</v>
      </c>
      <c r="H14" s="169"/>
      <c r="I14" s="32">
        <v>97469.25</v>
      </c>
      <c r="J14" s="40">
        <f t="shared" si="0"/>
        <v>77975.400000000009</v>
      </c>
    </row>
    <row r="15" spans="1:11" x14ac:dyDescent="0.2">
      <c r="A15" s="9">
        <v>10</v>
      </c>
      <c r="B15" s="128">
        <v>2830906</v>
      </c>
      <c r="C15" s="128"/>
      <c r="D15" s="128">
        <v>2830906</v>
      </c>
      <c r="E15" s="128"/>
      <c r="F15" s="12">
        <v>34989</v>
      </c>
      <c r="G15" s="169" t="s">
        <v>364</v>
      </c>
      <c r="H15" s="169"/>
      <c r="I15" s="32">
        <v>131094.25</v>
      </c>
      <c r="J15" s="40">
        <f t="shared" si="0"/>
        <v>104875.40000000001</v>
      </c>
    </row>
    <row r="16" spans="1:11" ht="13.5" customHeight="1" x14ac:dyDescent="0.2">
      <c r="A16" s="9">
        <v>11</v>
      </c>
      <c r="B16" s="128">
        <v>2831996</v>
      </c>
      <c r="C16" s="128"/>
      <c r="D16" s="128"/>
      <c r="E16" s="128"/>
      <c r="F16" s="12">
        <v>35388</v>
      </c>
      <c r="G16" s="169" t="s">
        <v>365</v>
      </c>
      <c r="H16" s="169"/>
      <c r="I16" s="32">
        <v>83371.149999999994</v>
      </c>
      <c r="J16" s="54">
        <f t="shared" si="0"/>
        <v>66696.92</v>
      </c>
      <c r="K16" s="107"/>
    </row>
    <row r="17" spans="1:10" ht="13.5" customHeight="1" x14ac:dyDescent="0.2">
      <c r="A17" s="9">
        <v>12</v>
      </c>
      <c r="B17" s="128">
        <v>2830647</v>
      </c>
      <c r="C17" s="128"/>
      <c r="D17" s="128">
        <v>2831228</v>
      </c>
      <c r="E17" s="128"/>
      <c r="F17" s="12">
        <v>40616</v>
      </c>
      <c r="G17" s="169"/>
      <c r="H17" s="169"/>
      <c r="I17" s="32">
        <v>109647.65</v>
      </c>
      <c r="J17" s="40">
        <f t="shared" si="0"/>
        <v>87718.12</v>
      </c>
    </row>
    <row r="18" spans="1:10" ht="13.5" customHeight="1" x14ac:dyDescent="0.2">
      <c r="A18" s="9">
        <v>13</v>
      </c>
      <c r="B18" s="128">
        <v>2831031</v>
      </c>
      <c r="C18" s="128"/>
      <c r="D18" s="128">
        <v>2830010</v>
      </c>
      <c r="E18" s="128"/>
      <c r="F18" s="12">
        <v>42318</v>
      </c>
      <c r="G18" s="169"/>
      <c r="H18" s="169"/>
      <c r="I18" s="32">
        <v>191445</v>
      </c>
      <c r="J18" s="40">
        <f t="shared" si="0"/>
        <v>153156</v>
      </c>
    </row>
    <row r="19" spans="1:10" ht="13.5" customHeight="1" x14ac:dyDescent="0.2">
      <c r="A19" s="9">
        <v>14</v>
      </c>
      <c r="B19" s="128">
        <v>2831015</v>
      </c>
      <c r="C19" s="128"/>
      <c r="D19" s="128">
        <v>2831016</v>
      </c>
      <c r="E19" s="128"/>
      <c r="F19" s="12">
        <v>43026</v>
      </c>
      <c r="G19" s="169"/>
      <c r="H19" s="169"/>
      <c r="I19" s="32">
        <v>172701.71</v>
      </c>
      <c r="J19" s="40">
        <f t="shared" si="0"/>
        <v>138161.36799999999</v>
      </c>
    </row>
    <row r="20" spans="1:10" ht="13.5" customHeight="1" x14ac:dyDescent="0.2">
      <c r="A20" s="9">
        <v>15</v>
      </c>
      <c r="B20" s="128">
        <v>2830515</v>
      </c>
      <c r="C20" s="128"/>
      <c r="D20" s="137" t="s">
        <v>1151</v>
      </c>
      <c r="E20" s="128"/>
      <c r="F20" s="12">
        <v>43249</v>
      </c>
      <c r="G20" s="169"/>
      <c r="H20" s="169"/>
      <c r="I20" s="32">
        <v>50241.760000000002</v>
      </c>
      <c r="J20" s="40">
        <f t="shared" si="0"/>
        <v>40193.408000000003</v>
      </c>
    </row>
    <row r="21" spans="1:10" ht="13.5" customHeight="1" x14ac:dyDescent="0.2">
      <c r="A21" s="9">
        <v>16</v>
      </c>
      <c r="B21" s="128">
        <v>2830817</v>
      </c>
      <c r="C21" s="128"/>
      <c r="D21" s="128">
        <v>2833506</v>
      </c>
      <c r="E21" s="128"/>
      <c r="F21" s="12">
        <v>43525</v>
      </c>
      <c r="G21" s="169"/>
      <c r="H21" s="169"/>
      <c r="I21" s="32">
        <v>173800.6</v>
      </c>
      <c r="J21" s="40">
        <f t="shared" si="0"/>
        <v>139040.48000000001</v>
      </c>
    </row>
    <row r="22" spans="1:10" ht="13.5" customHeight="1" x14ac:dyDescent="0.2">
      <c r="A22" s="9">
        <v>17</v>
      </c>
      <c r="B22" s="128">
        <v>2832446</v>
      </c>
      <c r="C22" s="128"/>
      <c r="D22" s="230" t="s">
        <v>1151</v>
      </c>
      <c r="E22" s="128"/>
      <c r="F22" s="12">
        <v>43698</v>
      </c>
      <c r="G22" s="169"/>
      <c r="H22" s="169"/>
      <c r="I22" s="32">
        <v>206640</v>
      </c>
      <c r="J22" s="40">
        <f t="shared" si="0"/>
        <v>165312</v>
      </c>
    </row>
    <row r="23" spans="1:10" ht="13.5" customHeight="1" x14ac:dyDescent="0.2">
      <c r="A23" s="9">
        <v>18</v>
      </c>
      <c r="B23" s="128">
        <v>2831848</v>
      </c>
      <c r="C23" s="128"/>
      <c r="D23" s="128">
        <v>2831849</v>
      </c>
      <c r="E23" s="128"/>
      <c r="F23" s="12">
        <v>43698</v>
      </c>
      <c r="G23" s="169"/>
      <c r="H23" s="169"/>
      <c r="I23" s="32">
        <v>153494.51</v>
      </c>
      <c r="J23" s="40">
        <f t="shared" si="0"/>
        <v>122795.60800000001</v>
      </c>
    </row>
    <row r="24" spans="1:10" ht="13.5" customHeight="1" x14ac:dyDescent="0.2">
      <c r="A24" s="9"/>
      <c r="B24" s="128"/>
      <c r="C24" s="128"/>
      <c r="D24" s="128"/>
      <c r="E24" s="128"/>
      <c r="F24" s="12"/>
      <c r="G24" s="169"/>
      <c r="H24" s="169"/>
      <c r="I24" s="32"/>
      <c r="J24" s="40"/>
    </row>
    <row r="25" spans="1:10" ht="13.5" thickBot="1" x14ac:dyDescent="0.25">
      <c r="A25" s="9"/>
      <c r="B25" s="128"/>
      <c r="C25" s="128"/>
      <c r="D25" s="128"/>
      <c r="E25" s="128"/>
      <c r="F25" s="12"/>
      <c r="G25" s="169"/>
      <c r="H25" s="169"/>
      <c r="I25" s="55"/>
      <c r="J25" s="56"/>
    </row>
    <row r="26" spans="1:10" ht="13.5" thickTop="1" x14ac:dyDescent="0.2">
      <c r="A26" s="13"/>
      <c r="B26" s="13"/>
      <c r="C26" s="13"/>
      <c r="D26" s="13"/>
      <c r="E26" s="13"/>
      <c r="F26" s="13"/>
      <c r="G26" s="13"/>
      <c r="H26" s="13" t="s">
        <v>33</v>
      </c>
      <c r="I26" s="24">
        <f>SUM(I6:I25)</f>
        <v>2278505.42</v>
      </c>
      <c r="J26" s="24">
        <f>SUM(J6:J25)</f>
        <v>1822804.3360000004</v>
      </c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31" t="s">
        <v>34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x14ac:dyDescent="0.2">
      <c r="A29" s="169" t="s">
        <v>23</v>
      </c>
      <c r="B29" s="169" t="s">
        <v>35</v>
      </c>
      <c r="C29" s="169"/>
      <c r="D29" s="169" t="s">
        <v>36</v>
      </c>
      <c r="E29" s="169" t="s">
        <v>37</v>
      </c>
      <c r="F29" s="169"/>
      <c r="G29" s="169" t="s">
        <v>38</v>
      </c>
      <c r="H29" s="169"/>
      <c r="I29" s="169" t="s">
        <v>39</v>
      </c>
      <c r="J29" s="169"/>
    </row>
    <row r="30" spans="1:10" x14ac:dyDescent="0.2">
      <c r="A30" s="169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2">
      <c r="A31" s="9">
        <v>1</v>
      </c>
      <c r="B31" s="128">
        <v>128110</v>
      </c>
      <c r="C31" s="128"/>
      <c r="D31" s="10">
        <v>5225</v>
      </c>
      <c r="E31" s="182">
        <v>34881</v>
      </c>
      <c r="F31" s="128"/>
      <c r="G31" s="128" t="s">
        <v>366</v>
      </c>
      <c r="H31" s="128"/>
      <c r="I31" s="136">
        <v>66285</v>
      </c>
      <c r="J31" s="136"/>
    </row>
    <row r="32" spans="1:10" x14ac:dyDescent="0.2">
      <c r="A32" s="9">
        <v>2</v>
      </c>
      <c r="B32" s="128">
        <v>121470</v>
      </c>
      <c r="C32" s="128"/>
      <c r="D32" s="9">
        <v>10187</v>
      </c>
      <c r="E32" s="182">
        <v>35034</v>
      </c>
      <c r="F32" s="128"/>
      <c r="G32" s="128" t="s">
        <v>367</v>
      </c>
      <c r="H32" s="128"/>
      <c r="I32" s="136">
        <v>90330</v>
      </c>
      <c r="J32" s="136"/>
    </row>
    <row r="33" spans="1:10" x14ac:dyDescent="0.2">
      <c r="A33" s="9">
        <v>3</v>
      </c>
      <c r="B33" s="128">
        <v>120270</v>
      </c>
      <c r="C33" s="128"/>
      <c r="D33" s="10">
        <v>8363</v>
      </c>
      <c r="E33" s="182">
        <v>35096</v>
      </c>
      <c r="F33" s="128"/>
      <c r="G33" s="128">
        <v>2805001</v>
      </c>
      <c r="H33" s="128"/>
      <c r="I33" s="136">
        <v>129947</v>
      </c>
      <c r="J33" s="136"/>
    </row>
    <row r="34" spans="1:10" x14ac:dyDescent="0.2">
      <c r="A34" s="9">
        <v>4</v>
      </c>
      <c r="B34" s="128">
        <v>128120</v>
      </c>
      <c r="C34" s="128"/>
      <c r="D34" s="10">
        <v>5223</v>
      </c>
      <c r="E34" s="182">
        <v>35096</v>
      </c>
      <c r="F34" s="128"/>
      <c r="G34" s="128" t="s">
        <v>368</v>
      </c>
      <c r="H34" s="128"/>
      <c r="I34" s="136">
        <v>93296</v>
      </c>
      <c r="J34" s="136"/>
    </row>
    <row r="35" spans="1:10" x14ac:dyDescent="0.2">
      <c r="A35" s="9">
        <v>5</v>
      </c>
      <c r="B35" s="128">
        <v>124460</v>
      </c>
      <c r="C35" s="128"/>
      <c r="D35" s="9">
        <v>13869</v>
      </c>
      <c r="E35" s="182">
        <v>36008</v>
      </c>
      <c r="F35" s="128"/>
      <c r="G35" s="183" t="s">
        <v>369</v>
      </c>
      <c r="H35" s="128"/>
      <c r="I35" s="136">
        <v>120021</v>
      </c>
      <c r="J35" s="136"/>
    </row>
    <row r="36" spans="1:10" x14ac:dyDescent="0.2">
      <c r="A36" s="9">
        <v>6</v>
      </c>
      <c r="B36" s="128">
        <v>124440</v>
      </c>
      <c r="C36" s="128"/>
      <c r="D36" s="9">
        <v>13804</v>
      </c>
      <c r="E36" s="182">
        <v>36342</v>
      </c>
      <c r="F36" s="128"/>
      <c r="G36" s="183" t="s">
        <v>370</v>
      </c>
      <c r="H36" s="128"/>
      <c r="I36" s="136">
        <v>380274</v>
      </c>
      <c r="J36" s="136"/>
    </row>
    <row r="37" spans="1:10" x14ac:dyDescent="0.2">
      <c r="A37" s="9">
        <v>7</v>
      </c>
      <c r="B37" s="128">
        <v>123750</v>
      </c>
      <c r="C37" s="128"/>
      <c r="D37" s="9">
        <v>12762</v>
      </c>
      <c r="E37" s="182">
        <v>36342</v>
      </c>
      <c r="F37" s="128"/>
      <c r="G37" s="183" t="s">
        <v>371</v>
      </c>
      <c r="H37" s="128"/>
      <c r="I37" s="136">
        <f>199695-103420.65</f>
        <v>96274.35</v>
      </c>
      <c r="J37" s="136"/>
    </row>
    <row r="38" spans="1:10" x14ac:dyDescent="0.2">
      <c r="A38" s="9">
        <v>8</v>
      </c>
      <c r="B38" s="128">
        <v>526822</v>
      </c>
      <c r="C38" s="128"/>
      <c r="D38" s="9">
        <v>82659</v>
      </c>
      <c r="E38" s="128"/>
      <c r="F38" s="128"/>
      <c r="G38" s="128" t="s">
        <v>876</v>
      </c>
      <c r="H38" s="128"/>
      <c r="I38" s="136">
        <v>66315</v>
      </c>
      <c r="J38" s="136"/>
    </row>
    <row r="39" spans="1:10" x14ac:dyDescent="0.2">
      <c r="A39" s="19">
        <v>9</v>
      </c>
      <c r="B39" s="137">
        <v>520273</v>
      </c>
      <c r="C39" s="137"/>
      <c r="D39" s="19">
        <v>87784</v>
      </c>
      <c r="E39" s="196">
        <v>41072</v>
      </c>
      <c r="F39" s="137"/>
      <c r="G39" s="298" t="s">
        <v>946</v>
      </c>
      <c r="H39" s="299"/>
      <c r="I39" s="138">
        <v>41650.699999999997</v>
      </c>
      <c r="J39" s="138"/>
    </row>
    <row r="40" spans="1:10" x14ac:dyDescent="0.2">
      <c r="A40" s="19"/>
      <c r="B40" s="137"/>
      <c r="C40" s="137"/>
      <c r="D40" s="19">
        <v>90189</v>
      </c>
      <c r="E40" s="137"/>
      <c r="F40" s="137"/>
      <c r="G40" s="137" t="s">
        <v>939</v>
      </c>
      <c r="H40" s="137"/>
      <c r="I40" s="138">
        <v>1140</v>
      </c>
      <c r="J40" s="138"/>
    </row>
    <row r="41" spans="1:10" x14ac:dyDescent="0.2">
      <c r="A41" s="9">
        <v>10</v>
      </c>
      <c r="B41" s="128"/>
      <c r="C41" s="128"/>
      <c r="D41" s="9">
        <v>94371</v>
      </c>
      <c r="E41" s="128"/>
      <c r="F41" s="128"/>
      <c r="G41" s="128" t="s">
        <v>1017</v>
      </c>
      <c r="H41" s="128"/>
      <c r="I41" s="136">
        <v>342000</v>
      </c>
      <c r="J41" s="136"/>
    </row>
    <row r="42" spans="1:10" x14ac:dyDescent="0.2">
      <c r="A42" s="82"/>
      <c r="B42" s="198"/>
      <c r="C42" s="198"/>
      <c r="D42" s="82"/>
      <c r="E42" s="198"/>
      <c r="F42" s="198"/>
      <c r="G42" s="198" t="s">
        <v>1555</v>
      </c>
      <c r="H42" s="198"/>
      <c r="I42" s="199">
        <v>130500</v>
      </c>
      <c r="J42" s="199"/>
    </row>
    <row r="43" spans="1:10" x14ac:dyDescent="0.2">
      <c r="A43" s="58"/>
      <c r="B43" s="151"/>
      <c r="C43" s="151"/>
      <c r="D43" s="58"/>
      <c r="E43" s="151"/>
      <c r="F43" s="151"/>
      <c r="G43" s="151"/>
      <c r="H43" s="151"/>
      <c r="I43" s="152"/>
      <c r="J43" s="152"/>
    </row>
    <row r="44" spans="1:10" ht="13.5" thickBot="1" x14ac:dyDescent="0.25">
      <c r="A44" s="9"/>
      <c r="B44" s="128"/>
      <c r="C44" s="128"/>
      <c r="D44" s="9"/>
      <c r="E44" s="128"/>
      <c r="F44" s="128"/>
      <c r="G44" s="128"/>
      <c r="H44" s="128"/>
      <c r="I44" s="249"/>
      <c r="J44" s="249"/>
    </row>
    <row r="45" spans="1:10" ht="13.5" thickTop="1" x14ac:dyDescent="0.2">
      <c r="A45" s="13"/>
      <c r="B45" s="13"/>
      <c r="C45" s="13"/>
      <c r="D45" s="13"/>
      <c r="E45" s="13"/>
      <c r="F45" s="13"/>
      <c r="G45" s="13"/>
      <c r="H45" s="13" t="s">
        <v>33</v>
      </c>
      <c r="I45" s="140">
        <f>SUM(I31:J44)</f>
        <v>1558033.05</v>
      </c>
      <c r="J45" s="140"/>
    </row>
    <row r="46" spans="1:10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 x14ac:dyDescent="0.25">
      <c r="A47" s="15" t="s">
        <v>46</v>
      </c>
      <c r="B47" s="16"/>
      <c r="C47" s="16"/>
      <c r="D47" s="16"/>
      <c r="E47" s="16"/>
      <c r="F47" s="16"/>
      <c r="G47" s="16"/>
      <c r="H47" s="16"/>
      <c r="I47" s="149" t="s">
        <v>47</v>
      </c>
      <c r="J47" s="150"/>
    </row>
    <row r="48" spans="1:10" x14ac:dyDescent="0.2">
      <c r="A48" s="144" t="s">
        <v>48</v>
      </c>
      <c r="B48" s="144"/>
      <c r="C48" s="144"/>
      <c r="D48" s="144"/>
      <c r="E48" s="144"/>
      <c r="F48" s="144"/>
      <c r="G48" s="144"/>
      <c r="H48" s="144"/>
      <c r="I48" s="148">
        <f>I26*80%</f>
        <v>1822804.3360000001</v>
      </c>
      <c r="J48" s="148"/>
    </row>
    <row r="49" spans="1:10" x14ac:dyDescent="0.2">
      <c r="A49" s="144" t="s">
        <v>49</v>
      </c>
      <c r="B49" s="144"/>
      <c r="C49" s="144"/>
      <c r="D49" s="144"/>
      <c r="E49" s="144"/>
      <c r="F49" s="144"/>
      <c r="G49" s="144"/>
      <c r="H49" s="144"/>
      <c r="I49" s="184">
        <v>66315</v>
      </c>
      <c r="J49" s="184"/>
    </row>
    <row r="50" spans="1:10" x14ac:dyDescent="0.2">
      <c r="A50" s="134" t="s">
        <v>1524</v>
      </c>
      <c r="B50" s="134"/>
      <c r="C50" s="134"/>
      <c r="D50" s="134"/>
      <c r="E50" s="134"/>
      <c r="F50" s="134"/>
      <c r="G50" s="134"/>
      <c r="H50" s="134"/>
      <c r="I50" s="135">
        <v>-71400</v>
      </c>
      <c r="J50" s="135"/>
    </row>
    <row r="51" spans="1:10" x14ac:dyDescent="0.2">
      <c r="A51" s="144"/>
      <c r="B51" s="144"/>
      <c r="C51" s="144"/>
      <c r="D51" s="144"/>
      <c r="E51" s="144"/>
      <c r="F51" s="144"/>
      <c r="G51" s="144"/>
      <c r="H51" s="144"/>
      <c r="I51" s="184"/>
      <c r="J51" s="184"/>
    </row>
    <row r="52" spans="1:10" ht="13.5" thickBot="1" x14ac:dyDescent="0.25">
      <c r="A52" s="144" t="s">
        <v>50</v>
      </c>
      <c r="B52" s="144"/>
      <c r="C52" s="144"/>
      <c r="D52" s="144"/>
      <c r="E52" s="144"/>
      <c r="F52" s="144"/>
      <c r="G52" s="144"/>
      <c r="H52" s="144"/>
      <c r="I52" s="145">
        <f>I45</f>
        <v>1558033.05</v>
      </c>
      <c r="J52" s="145"/>
    </row>
    <row r="53" spans="1:10" ht="13.5" thickTop="1" x14ac:dyDescent="0.2">
      <c r="H53" s="18" t="s">
        <v>33</v>
      </c>
      <c r="I53" s="129">
        <f>I48+I49+I50-I52</f>
        <v>259686.28600000008</v>
      </c>
      <c r="J53" s="130"/>
    </row>
    <row r="55" spans="1:10" ht="15" x14ac:dyDescent="0.25">
      <c r="A55" s="131" t="s">
        <v>51</v>
      </c>
      <c r="B55" s="132"/>
      <c r="C55" s="132"/>
      <c r="D55" s="132"/>
      <c r="E55" s="132"/>
      <c r="F55" s="132"/>
      <c r="G55" s="132"/>
      <c r="H55" s="132"/>
      <c r="I55" s="132"/>
      <c r="J55" s="133"/>
    </row>
    <row r="56" spans="1:10" x14ac:dyDescent="0.2">
      <c r="A56" s="139" t="s">
        <v>372</v>
      </c>
      <c r="B56" s="139"/>
      <c r="C56" s="139"/>
      <c r="D56" s="139"/>
      <c r="E56" s="139"/>
      <c r="F56" s="139"/>
      <c r="G56" s="139"/>
      <c r="H56" s="139"/>
      <c r="I56" s="139"/>
      <c r="J56" s="139"/>
    </row>
    <row r="57" spans="1:10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</row>
    <row r="59" spans="1:10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</row>
    <row r="60" spans="1:10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</row>
    <row r="61" spans="1:10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</row>
  </sheetData>
  <mergeCells count="147">
    <mergeCell ref="B43:C43"/>
    <mergeCell ref="I45:J45"/>
    <mergeCell ref="I44:J44"/>
    <mergeCell ref="I43:J43"/>
    <mergeCell ref="G41:H41"/>
    <mergeCell ref="B40:C40"/>
    <mergeCell ref="E41:F41"/>
    <mergeCell ref="B44:C44"/>
    <mergeCell ref="I41:J41"/>
    <mergeCell ref="G42:H42"/>
    <mergeCell ref="I42:J42"/>
    <mergeCell ref="E44:F44"/>
    <mergeCell ref="G44:H44"/>
    <mergeCell ref="B41:C41"/>
    <mergeCell ref="E43:F43"/>
    <mergeCell ref="G43:H43"/>
    <mergeCell ref="B42:C42"/>
    <mergeCell ref="E42:F42"/>
    <mergeCell ref="E40:F40"/>
    <mergeCell ref="G40:H40"/>
    <mergeCell ref="I40:J40"/>
    <mergeCell ref="A56:J61"/>
    <mergeCell ref="A49:H49"/>
    <mergeCell ref="I49:J49"/>
    <mergeCell ref="A52:H52"/>
    <mergeCell ref="I52:J52"/>
    <mergeCell ref="A55:J55"/>
    <mergeCell ref="I47:J47"/>
    <mergeCell ref="A48:H48"/>
    <mergeCell ref="I48:J48"/>
    <mergeCell ref="I53:J53"/>
    <mergeCell ref="A51:H51"/>
    <mergeCell ref="I51:J51"/>
    <mergeCell ref="A50:H50"/>
    <mergeCell ref="I50:J50"/>
    <mergeCell ref="B39:C39"/>
    <mergeCell ref="I38:J38"/>
    <mergeCell ref="E35:F35"/>
    <mergeCell ref="B36:C36"/>
    <mergeCell ref="E36:F36"/>
    <mergeCell ref="G36:H36"/>
    <mergeCell ref="B38:C38"/>
    <mergeCell ref="E38:F38"/>
    <mergeCell ref="G38:H38"/>
    <mergeCell ref="B37:C37"/>
    <mergeCell ref="E37:F37"/>
    <mergeCell ref="G37:H37"/>
    <mergeCell ref="I37:J37"/>
    <mergeCell ref="I39:J39"/>
    <mergeCell ref="E39:F39"/>
    <mergeCell ref="G39:H39"/>
    <mergeCell ref="G35:H35"/>
    <mergeCell ref="I35:J35"/>
    <mergeCell ref="I36:J36"/>
    <mergeCell ref="G18:H18"/>
    <mergeCell ref="B22:C22"/>
    <mergeCell ref="E32:F32"/>
    <mergeCell ref="G32:H32"/>
    <mergeCell ref="I32:J32"/>
    <mergeCell ref="I33:J33"/>
    <mergeCell ref="A28:J28"/>
    <mergeCell ref="B29:C30"/>
    <mergeCell ref="B31:C31"/>
    <mergeCell ref="E33:F33"/>
    <mergeCell ref="A29:A30"/>
    <mergeCell ref="E29:F30"/>
    <mergeCell ref="G29:H30"/>
    <mergeCell ref="D22:E22"/>
    <mergeCell ref="B19:C19"/>
    <mergeCell ref="D19:E19"/>
    <mergeCell ref="G19:H19"/>
    <mergeCell ref="D20:E20"/>
    <mergeCell ref="G22:H22"/>
    <mergeCell ref="G20:H20"/>
    <mergeCell ref="B20:C20"/>
    <mergeCell ref="B21:C21"/>
    <mergeCell ref="D21:E21"/>
    <mergeCell ref="G21:H21"/>
    <mergeCell ref="D9:E9"/>
    <mergeCell ref="G9:H9"/>
    <mergeCell ref="B10:C10"/>
    <mergeCell ref="B14:C14"/>
    <mergeCell ref="D14:E14"/>
    <mergeCell ref="G14:H14"/>
    <mergeCell ref="B13:C13"/>
    <mergeCell ref="G16:H16"/>
    <mergeCell ref="B17:C17"/>
    <mergeCell ref="D12:E12"/>
    <mergeCell ref="G12:H12"/>
    <mergeCell ref="B15:C15"/>
    <mergeCell ref="D15:E15"/>
    <mergeCell ref="G15:H15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8:C8"/>
    <mergeCell ref="D8:E8"/>
    <mergeCell ref="D10:E10"/>
    <mergeCell ref="G10:H10"/>
    <mergeCell ref="B18:C18"/>
    <mergeCell ref="D18:E18"/>
    <mergeCell ref="D17:E17"/>
    <mergeCell ref="G17:H17"/>
    <mergeCell ref="G7:H7"/>
    <mergeCell ref="G8:H8"/>
    <mergeCell ref="B7:C7"/>
    <mergeCell ref="D7:E7"/>
    <mergeCell ref="B11:C11"/>
    <mergeCell ref="D11:E11"/>
    <mergeCell ref="G11:H11"/>
    <mergeCell ref="B9:C9"/>
    <mergeCell ref="B16:C16"/>
    <mergeCell ref="D16:E16"/>
    <mergeCell ref="D13:E13"/>
    <mergeCell ref="G13:H13"/>
    <mergeCell ref="B12:C12"/>
    <mergeCell ref="I34:J34"/>
    <mergeCell ref="B35:C35"/>
    <mergeCell ref="I29:J30"/>
    <mergeCell ref="G31:H31"/>
    <mergeCell ref="I31:J31"/>
    <mergeCell ref="B24:C24"/>
    <mergeCell ref="D24:E24"/>
    <mergeCell ref="D23:E23"/>
    <mergeCell ref="G23:H23"/>
    <mergeCell ref="G24:H24"/>
    <mergeCell ref="D25:E25"/>
    <mergeCell ref="G25:H25"/>
    <mergeCell ref="B25:C25"/>
    <mergeCell ref="B34:C34"/>
    <mergeCell ref="E34:F34"/>
    <mergeCell ref="G34:H34"/>
    <mergeCell ref="B32:C32"/>
    <mergeCell ref="D29:D30"/>
    <mergeCell ref="B33:C33"/>
    <mergeCell ref="E31:F31"/>
    <mergeCell ref="G33:H33"/>
    <mergeCell ref="B23:C23"/>
  </mergeCells>
  <phoneticPr fontId="6" type="noConversion"/>
  <pageMargins left="0.75" right="0.75" top="1" bottom="1" header="0.5" footer="0.5"/>
  <pageSetup scale="8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/>
  <dimension ref="A1:J42"/>
  <sheetViews>
    <sheetView workbookViewId="0">
      <selection activeCell="A37" sqref="A37:J42"/>
    </sheetView>
  </sheetViews>
  <sheetFormatPr defaultRowHeight="12.75" x14ac:dyDescent="0.2"/>
  <cols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373</v>
      </c>
      <c r="B2" s="6"/>
      <c r="C2" s="6"/>
      <c r="D2" s="6"/>
      <c r="E2" s="6"/>
      <c r="F2" s="6"/>
      <c r="G2" s="6"/>
      <c r="H2" s="6"/>
      <c r="I2" s="6"/>
      <c r="J2" s="7" t="s">
        <v>185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/>
      <c r="C6" s="128"/>
      <c r="D6" s="128"/>
      <c r="E6" s="128"/>
      <c r="F6" s="12"/>
      <c r="G6" s="169"/>
      <c r="H6" s="169"/>
      <c r="I6" s="11">
        <v>235780</v>
      </c>
      <c r="J6" s="11">
        <f>I6*0.8</f>
        <v>188624</v>
      </c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11"/>
      <c r="J7" s="11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11"/>
      <c r="J8" s="11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11"/>
      <c r="J9" s="11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11"/>
      <c r="J10" s="11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11"/>
      <c r="J11" s="11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11"/>
      <c r="J12" s="11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11"/>
      <c r="J13" s="11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14">
        <f>SUM(I6:I13)</f>
        <v>235780</v>
      </c>
      <c r="J14" s="14">
        <f>SUM(J6:J13)</f>
        <v>188624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28"/>
      <c r="C19" s="128"/>
      <c r="D19" s="9">
        <v>12214</v>
      </c>
      <c r="E19" s="128"/>
      <c r="F19" s="128"/>
      <c r="G19" s="128" t="s">
        <v>374</v>
      </c>
      <c r="H19" s="128"/>
      <c r="I19" s="239">
        <v>188624</v>
      </c>
      <c r="J19" s="239"/>
    </row>
    <row r="20" spans="1:10" x14ac:dyDescent="0.2">
      <c r="A20" s="9"/>
      <c r="B20" s="128"/>
      <c r="C20" s="128"/>
      <c r="D20" s="9"/>
      <c r="E20" s="128"/>
      <c r="F20" s="128"/>
      <c r="G20" s="128"/>
      <c r="H20" s="128"/>
      <c r="I20" s="239"/>
      <c r="J20" s="239"/>
    </row>
    <row r="21" spans="1:10" x14ac:dyDescent="0.2">
      <c r="A21" s="9"/>
      <c r="B21" s="128"/>
      <c r="C21" s="128"/>
      <c r="D21" s="9"/>
      <c r="E21" s="128"/>
      <c r="F21" s="128"/>
      <c r="G21" s="128"/>
      <c r="H21" s="128"/>
      <c r="I21" s="239"/>
      <c r="J21" s="239"/>
    </row>
    <row r="22" spans="1:10" x14ac:dyDescent="0.2">
      <c r="A22" s="9"/>
      <c r="B22" s="128"/>
      <c r="C22" s="128"/>
      <c r="D22" s="9"/>
      <c r="E22" s="128"/>
      <c r="F22" s="128"/>
      <c r="G22" s="128"/>
      <c r="H22" s="128"/>
      <c r="I22" s="239"/>
      <c r="J22" s="239"/>
    </row>
    <row r="23" spans="1:10" x14ac:dyDescent="0.2">
      <c r="A23" s="9"/>
      <c r="B23" s="128"/>
      <c r="C23" s="128"/>
      <c r="D23" s="9"/>
      <c r="E23" s="128"/>
      <c r="F23" s="128"/>
      <c r="G23" s="128"/>
      <c r="H23" s="128"/>
      <c r="I23" s="239"/>
      <c r="J23" s="239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239"/>
      <c r="J24" s="239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239"/>
      <c r="J25" s="239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239"/>
      <c r="J26" s="239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41"/>
      <c r="J27" s="241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242">
        <f>SUM(I19:J27)</f>
        <v>188624</v>
      </c>
      <c r="J28" s="242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240">
        <f>I14*80%</f>
        <v>188624</v>
      </c>
      <c r="J31" s="240"/>
    </row>
    <row r="32" spans="1:10" x14ac:dyDescent="0.2">
      <c r="A32" s="144" t="s">
        <v>49</v>
      </c>
      <c r="B32" s="144"/>
      <c r="C32" s="144"/>
      <c r="D32" s="144"/>
      <c r="E32" s="144"/>
      <c r="F32" s="144"/>
      <c r="G32" s="144"/>
      <c r="H32" s="144"/>
      <c r="I32" s="245">
        <f>I27</f>
        <v>0</v>
      </c>
      <c r="J32" s="245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246">
        <f>I28</f>
        <v>188624</v>
      </c>
      <c r="J33" s="246"/>
    </row>
    <row r="34" spans="1:10" ht="13.5" thickTop="1" x14ac:dyDescent="0.2">
      <c r="H34" s="18" t="s">
        <v>33</v>
      </c>
      <c r="I34" s="243">
        <f>I31+I32-I33</f>
        <v>0</v>
      </c>
      <c r="J34" s="244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87">
    <mergeCell ref="I34:J34"/>
    <mergeCell ref="A36:J36"/>
    <mergeCell ref="A37:J42"/>
    <mergeCell ref="I4:I5"/>
    <mergeCell ref="J4:J5"/>
    <mergeCell ref="A32:H32"/>
    <mergeCell ref="I32:J32"/>
    <mergeCell ref="A33:H33"/>
    <mergeCell ref="I33:J33"/>
    <mergeCell ref="I28:J28"/>
    <mergeCell ref="I30:J30"/>
    <mergeCell ref="A31:H31"/>
    <mergeCell ref="I31:J31"/>
    <mergeCell ref="B27:C27"/>
    <mergeCell ref="E27:F27"/>
    <mergeCell ref="G27:H27"/>
    <mergeCell ref="I27:J27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</mergeCells>
  <phoneticPr fontId="6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4">
    <pageSetUpPr fitToPage="1"/>
  </sheetPr>
  <dimension ref="A1:K59"/>
  <sheetViews>
    <sheetView topLeftCell="A16" workbookViewId="0">
      <selection activeCell="I36" sqref="I36:J36"/>
    </sheetView>
  </sheetViews>
  <sheetFormatPr defaultRowHeight="12.75" x14ac:dyDescent="0.2"/>
  <cols>
    <col min="6" max="6" width="12.5703125" customWidth="1"/>
    <col min="8" max="8" width="13.42578125" customWidth="1"/>
    <col min="9" max="9" width="13.7109375" customWidth="1"/>
    <col min="10" max="10" width="12.85546875" bestFit="1" customWidth="1"/>
    <col min="11" max="11" width="11.28515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375</v>
      </c>
      <c r="B2" s="6"/>
      <c r="C2" s="6"/>
      <c r="D2" s="6"/>
      <c r="E2" s="6"/>
      <c r="F2" s="6"/>
      <c r="G2" s="6"/>
      <c r="H2" s="6"/>
      <c r="I2" s="6"/>
      <c r="J2" s="7" t="s">
        <v>21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1" x14ac:dyDescent="0.2">
      <c r="A6" s="9">
        <v>1</v>
      </c>
      <c r="B6" s="128">
        <v>3231763</v>
      </c>
      <c r="C6" s="128"/>
      <c r="D6" s="128"/>
      <c r="E6" s="128"/>
      <c r="F6" s="12">
        <v>35802</v>
      </c>
      <c r="G6" s="169" t="s">
        <v>376</v>
      </c>
      <c r="H6" s="169"/>
      <c r="I6" s="52">
        <v>73676</v>
      </c>
      <c r="J6" s="52">
        <f t="shared" ref="J6:J18" si="0">I6*0.8</f>
        <v>58940.800000000003</v>
      </c>
    </row>
    <row r="7" spans="1:11" x14ac:dyDescent="0.2">
      <c r="A7" s="9">
        <v>2</v>
      </c>
      <c r="B7" s="128">
        <v>3230740</v>
      </c>
      <c r="C7" s="128"/>
      <c r="D7" s="128"/>
      <c r="E7" s="128"/>
      <c r="F7" s="12">
        <v>35802</v>
      </c>
      <c r="G7" s="169" t="s">
        <v>377</v>
      </c>
      <c r="H7" s="169"/>
      <c r="I7" s="52">
        <v>119198</v>
      </c>
      <c r="J7" s="52">
        <f t="shared" si="0"/>
        <v>95358.400000000009</v>
      </c>
    </row>
    <row r="8" spans="1:11" x14ac:dyDescent="0.2">
      <c r="A8" s="9">
        <v>3</v>
      </c>
      <c r="B8" s="128">
        <v>3231690</v>
      </c>
      <c r="C8" s="128"/>
      <c r="D8" s="128"/>
      <c r="E8" s="128"/>
      <c r="F8" s="12">
        <v>35564</v>
      </c>
      <c r="G8" s="169" t="s">
        <v>378</v>
      </c>
      <c r="H8" s="169"/>
      <c r="I8" s="52">
        <v>114155</v>
      </c>
      <c r="J8" s="52">
        <f t="shared" si="0"/>
        <v>91324</v>
      </c>
    </row>
    <row r="9" spans="1:11" x14ac:dyDescent="0.2">
      <c r="A9" s="9">
        <v>4</v>
      </c>
      <c r="B9" s="128">
        <v>3230120</v>
      </c>
      <c r="C9" s="128"/>
      <c r="D9" s="128"/>
      <c r="E9" s="128"/>
      <c r="F9" s="12">
        <v>35564</v>
      </c>
      <c r="G9" s="169" t="s">
        <v>379</v>
      </c>
      <c r="H9" s="169"/>
      <c r="I9" s="52">
        <v>97320</v>
      </c>
      <c r="J9" s="52">
        <f t="shared" si="0"/>
        <v>77856</v>
      </c>
      <c r="K9" s="108"/>
    </row>
    <row r="10" spans="1:11" x14ac:dyDescent="0.2">
      <c r="A10" s="9">
        <v>5</v>
      </c>
      <c r="B10" s="128">
        <v>3230236</v>
      </c>
      <c r="C10" s="128"/>
      <c r="D10" s="128">
        <v>3236471</v>
      </c>
      <c r="E10" s="128"/>
      <c r="F10" s="12">
        <v>39995</v>
      </c>
      <c r="G10" s="169"/>
      <c r="H10" s="169"/>
      <c r="I10" s="52">
        <v>230185.58</v>
      </c>
      <c r="J10" s="52">
        <f t="shared" si="0"/>
        <v>184148.46400000001</v>
      </c>
    </row>
    <row r="11" spans="1:11" x14ac:dyDescent="0.2">
      <c r="A11" s="9">
        <v>6</v>
      </c>
      <c r="B11" s="192">
        <v>3231321</v>
      </c>
      <c r="C11" s="204"/>
      <c r="D11" s="192">
        <v>3236498</v>
      </c>
      <c r="E11" s="204"/>
      <c r="F11" s="12">
        <v>40091</v>
      </c>
      <c r="G11" s="179"/>
      <c r="H11" s="181"/>
      <c r="I11" s="52">
        <v>182348.58</v>
      </c>
      <c r="J11" s="52">
        <f t="shared" si="0"/>
        <v>145878.864</v>
      </c>
    </row>
    <row r="12" spans="1:11" x14ac:dyDescent="0.2">
      <c r="A12" s="9">
        <v>7</v>
      </c>
      <c r="B12" s="192">
        <v>3230783</v>
      </c>
      <c r="C12" s="204"/>
      <c r="D12" s="192">
        <v>3236501</v>
      </c>
      <c r="E12" s="204"/>
      <c r="F12" s="12">
        <v>40091</v>
      </c>
      <c r="G12" s="179"/>
      <c r="H12" s="181"/>
      <c r="I12" s="52">
        <v>176586.04</v>
      </c>
      <c r="J12" s="52">
        <f t="shared" si="0"/>
        <v>141268.83200000002</v>
      </c>
    </row>
    <row r="13" spans="1:11" x14ac:dyDescent="0.2">
      <c r="A13" s="9">
        <v>8</v>
      </c>
      <c r="B13" s="192">
        <v>3260348</v>
      </c>
      <c r="C13" s="204"/>
      <c r="D13" s="192">
        <v>3261115</v>
      </c>
      <c r="E13" s="204"/>
      <c r="F13" s="12">
        <v>40554</v>
      </c>
      <c r="G13" s="179"/>
      <c r="H13" s="181"/>
      <c r="I13" s="52">
        <v>186300</v>
      </c>
      <c r="J13" s="52">
        <f t="shared" si="0"/>
        <v>149040</v>
      </c>
    </row>
    <row r="14" spans="1:11" x14ac:dyDescent="0.2">
      <c r="A14" s="9">
        <v>9</v>
      </c>
      <c r="B14" s="192">
        <v>3262413</v>
      </c>
      <c r="C14" s="204"/>
      <c r="D14" s="192">
        <v>3261069</v>
      </c>
      <c r="E14" s="204"/>
      <c r="F14" s="12">
        <v>40554</v>
      </c>
      <c r="G14" s="179"/>
      <c r="H14" s="181"/>
      <c r="I14" s="52">
        <v>165300</v>
      </c>
      <c r="J14" s="52">
        <f t="shared" si="0"/>
        <v>132240</v>
      </c>
    </row>
    <row r="15" spans="1:11" x14ac:dyDescent="0.2">
      <c r="A15" s="9">
        <v>10</v>
      </c>
      <c r="B15" s="128">
        <v>3233847</v>
      </c>
      <c r="C15" s="128"/>
      <c r="D15" s="128">
        <v>3236765</v>
      </c>
      <c r="E15" s="128"/>
      <c r="F15" s="12">
        <v>42033</v>
      </c>
      <c r="G15" s="169"/>
      <c r="H15" s="169"/>
      <c r="I15" s="52">
        <v>241884.2</v>
      </c>
      <c r="J15" s="52">
        <f t="shared" si="0"/>
        <v>193507.36000000002</v>
      </c>
    </row>
    <row r="16" spans="1:11" x14ac:dyDescent="0.2">
      <c r="A16" s="9">
        <v>11</v>
      </c>
      <c r="B16" s="128">
        <v>3232913</v>
      </c>
      <c r="C16" s="128"/>
      <c r="D16" s="137" t="s">
        <v>1182</v>
      </c>
      <c r="E16" s="128"/>
      <c r="F16" s="12">
        <v>43446</v>
      </c>
      <c r="G16" s="169"/>
      <c r="H16" s="169"/>
      <c r="I16" s="52">
        <v>420410.88</v>
      </c>
      <c r="J16" s="52">
        <f t="shared" si="0"/>
        <v>336328.70400000003</v>
      </c>
    </row>
    <row r="17" spans="1:10" x14ac:dyDescent="0.2">
      <c r="A17" s="9">
        <v>12</v>
      </c>
      <c r="B17" s="128">
        <v>3235017</v>
      </c>
      <c r="C17" s="128"/>
      <c r="D17" s="230" t="s">
        <v>1182</v>
      </c>
      <c r="E17" s="128"/>
      <c r="F17" s="12">
        <v>43965</v>
      </c>
      <c r="G17" s="169"/>
      <c r="H17" s="169"/>
      <c r="I17" s="52">
        <v>490043.85</v>
      </c>
      <c r="J17" s="52">
        <f t="shared" si="0"/>
        <v>392035.08</v>
      </c>
    </row>
    <row r="18" spans="1:10" x14ac:dyDescent="0.2">
      <c r="A18" s="9">
        <v>13</v>
      </c>
      <c r="B18" s="128">
        <v>3262928</v>
      </c>
      <c r="C18" s="128"/>
      <c r="D18" s="128">
        <v>3262929</v>
      </c>
      <c r="E18" s="128"/>
      <c r="F18" s="12">
        <v>44670</v>
      </c>
      <c r="G18" s="169" t="s">
        <v>1536</v>
      </c>
      <c r="H18" s="169"/>
      <c r="I18" s="52">
        <v>354902.4</v>
      </c>
      <c r="J18" s="52">
        <f t="shared" si="0"/>
        <v>283921.92000000004</v>
      </c>
    </row>
    <row r="19" spans="1:10" x14ac:dyDescent="0.2">
      <c r="A19" s="9"/>
      <c r="B19" s="128"/>
      <c r="C19" s="128"/>
      <c r="D19" s="128"/>
      <c r="E19" s="128"/>
      <c r="F19" s="12"/>
      <c r="G19" s="169"/>
      <c r="H19" s="169"/>
      <c r="I19" s="52"/>
      <c r="J19" s="52"/>
    </row>
    <row r="20" spans="1:10" x14ac:dyDescent="0.2">
      <c r="A20" s="9"/>
      <c r="B20" s="128"/>
      <c r="C20" s="128"/>
      <c r="D20" s="128"/>
      <c r="E20" s="128"/>
      <c r="F20" s="12"/>
      <c r="G20" s="169"/>
      <c r="H20" s="169"/>
      <c r="I20" s="52"/>
      <c r="J20" s="52"/>
    </row>
    <row r="21" spans="1:10" x14ac:dyDescent="0.2">
      <c r="A21" s="13"/>
      <c r="B21" s="13"/>
      <c r="C21" s="13"/>
      <c r="D21" s="13"/>
      <c r="E21" s="13"/>
      <c r="F21" s="13"/>
      <c r="G21" s="13"/>
      <c r="H21" s="13" t="s">
        <v>33</v>
      </c>
      <c r="I21" s="53">
        <f>SUM(I6:I20)</f>
        <v>2852310.53</v>
      </c>
      <c r="J21" s="53">
        <f>SUM(J6:J20)</f>
        <v>2281848.4240000001</v>
      </c>
    </row>
    <row r="22" spans="1:1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 x14ac:dyDescent="0.25">
      <c r="A23" s="131" t="s">
        <v>34</v>
      </c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x14ac:dyDescent="0.2">
      <c r="A24" s="169" t="s">
        <v>23</v>
      </c>
      <c r="B24" s="169" t="s">
        <v>35</v>
      </c>
      <c r="C24" s="169"/>
      <c r="D24" s="169" t="s">
        <v>36</v>
      </c>
      <c r="E24" s="169" t="s">
        <v>37</v>
      </c>
      <c r="F24" s="169"/>
      <c r="G24" s="169" t="s">
        <v>38</v>
      </c>
      <c r="H24" s="169"/>
      <c r="I24" s="169" t="s">
        <v>39</v>
      </c>
      <c r="J24" s="169"/>
    </row>
    <row r="25" spans="1:10" x14ac:dyDescent="0.2">
      <c r="A25" s="169"/>
      <c r="B25" s="169"/>
      <c r="C25" s="169"/>
      <c r="D25" s="169"/>
      <c r="E25" s="169"/>
      <c r="F25" s="169"/>
      <c r="G25" s="169"/>
      <c r="H25" s="169"/>
      <c r="I25" s="169"/>
      <c r="J25" s="169"/>
    </row>
    <row r="26" spans="1:10" x14ac:dyDescent="0.2">
      <c r="A26" s="9">
        <v>1</v>
      </c>
      <c r="B26" s="183" t="s">
        <v>380</v>
      </c>
      <c r="C26" s="128"/>
      <c r="D26" s="9">
        <v>13135</v>
      </c>
      <c r="E26" s="182">
        <v>36373</v>
      </c>
      <c r="F26" s="128"/>
      <c r="G26" s="183" t="s">
        <v>381</v>
      </c>
      <c r="H26" s="128"/>
      <c r="I26" s="136">
        <v>93387</v>
      </c>
      <c r="J26" s="136"/>
    </row>
    <row r="27" spans="1:10" x14ac:dyDescent="0.2">
      <c r="A27" s="9">
        <v>2</v>
      </c>
      <c r="B27" s="128">
        <v>416460</v>
      </c>
      <c r="C27" s="128"/>
      <c r="D27" s="9">
        <v>79588</v>
      </c>
      <c r="E27" s="182">
        <v>39769</v>
      </c>
      <c r="F27" s="128"/>
      <c r="G27" s="128" t="s">
        <v>382</v>
      </c>
      <c r="H27" s="128"/>
      <c r="I27" s="136">
        <v>121912.85</v>
      </c>
      <c r="J27" s="136"/>
    </row>
    <row r="28" spans="1:10" x14ac:dyDescent="0.2">
      <c r="A28" s="9">
        <v>3</v>
      </c>
      <c r="B28" s="128">
        <v>414510</v>
      </c>
      <c r="C28" s="128"/>
      <c r="D28" s="9">
        <v>23870</v>
      </c>
      <c r="E28" s="128"/>
      <c r="F28" s="128"/>
      <c r="G28" s="128" t="s">
        <v>823</v>
      </c>
      <c r="H28" s="128"/>
      <c r="I28" s="136">
        <v>94710</v>
      </c>
      <c r="J28" s="136"/>
    </row>
    <row r="29" spans="1:10" x14ac:dyDescent="0.2">
      <c r="A29" s="9">
        <v>4</v>
      </c>
      <c r="B29" s="128"/>
      <c r="C29" s="128"/>
      <c r="D29" s="9">
        <v>81299</v>
      </c>
      <c r="E29" s="182">
        <v>39882</v>
      </c>
      <c r="F29" s="128"/>
      <c r="G29" s="128"/>
      <c r="H29" s="128"/>
      <c r="I29" s="136">
        <v>116144.78</v>
      </c>
      <c r="J29" s="136"/>
    </row>
    <row r="30" spans="1:10" x14ac:dyDescent="0.2">
      <c r="A30" s="9">
        <v>5</v>
      </c>
      <c r="B30" s="128">
        <v>416600</v>
      </c>
      <c r="C30" s="128"/>
      <c r="D30" s="9">
        <v>82330</v>
      </c>
      <c r="E30" s="182">
        <v>40627</v>
      </c>
      <c r="F30" s="128"/>
      <c r="G30" s="128" t="s">
        <v>869</v>
      </c>
      <c r="H30" s="128"/>
      <c r="I30" s="136">
        <v>129253.22</v>
      </c>
      <c r="J30" s="136"/>
    </row>
    <row r="31" spans="1:10" x14ac:dyDescent="0.2">
      <c r="A31" s="9">
        <v>6</v>
      </c>
      <c r="B31" s="128">
        <v>416601</v>
      </c>
      <c r="C31" s="128"/>
      <c r="D31" s="9">
        <v>82331</v>
      </c>
      <c r="E31" s="182">
        <v>41046</v>
      </c>
      <c r="F31" s="128"/>
      <c r="G31" s="128" t="s">
        <v>873</v>
      </c>
      <c r="H31" s="128"/>
      <c r="I31" s="136">
        <v>105683.36</v>
      </c>
      <c r="J31" s="136"/>
    </row>
    <row r="32" spans="1:10" x14ac:dyDescent="0.2">
      <c r="A32" s="19"/>
      <c r="B32" s="137"/>
      <c r="C32" s="137"/>
      <c r="D32" s="19">
        <v>87270</v>
      </c>
      <c r="E32" s="137" t="s">
        <v>864</v>
      </c>
      <c r="F32" s="137"/>
      <c r="G32" s="137"/>
      <c r="H32" s="137"/>
      <c r="I32" s="138">
        <v>3156.8</v>
      </c>
      <c r="J32" s="138"/>
    </row>
    <row r="33" spans="1:10" x14ac:dyDescent="0.2">
      <c r="A33" s="19"/>
      <c r="B33" s="137"/>
      <c r="C33" s="137"/>
      <c r="D33" s="19">
        <v>92065</v>
      </c>
      <c r="E33" s="196">
        <v>41808</v>
      </c>
      <c r="F33" s="137"/>
      <c r="G33" s="137" t="s">
        <v>961</v>
      </c>
      <c r="H33" s="137"/>
      <c r="I33" s="138">
        <v>77127.34</v>
      </c>
      <c r="J33" s="138"/>
    </row>
    <row r="34" spans="1:10" x14ac:dyDescent="0.2">
      <c r="A34" s="19"/>
      <c r="B34" s="137"/>
      <c r="C34" s="137"/>
      <c r="D34" s="19">
        <v>83342</v>
      </c>
      <c r="E34" s="137"/>
      <c r="F34" s="137"/>
      <c r="G34" s="137" t="s">
        <v>927</v>
      </c>
      <c r="H34" s="137"/>
      <c r="I34" s="138">
        <f>110908.38*1.05</f>
        <v>116453.79900000001</v>
      </c>
      <c r="J34" s="138"/>
    </row>
    <row r="35" spans="1:10" x14ac:dyDescent="0.2">
      <c r="A35" s="19"/>
      <c r="B35" s="137"/>
      <c r="C35" s="137"/>
      <c r="D35" s="19"/>
      <c r="E35" s="137"/>
      <c r="F35" s="137"/>
      <c r="G35" s="128" t="s">
        <v>1599</v>
      </c>
      <c r="H35" s="137"/>
      <c r="I35" s="138">
        <v>278550</v>
      </c>
      <c r="J35" s="138"/>
    </row>
    <row r="36" spans="1:10" x14ac:dyDescent="0.2">
      <c r="A36" s="26"/>
      <c r="B36" s="198"/>
      <c r="C36" s="198"/>
      <c r="D36" s="82">
        <v>113848</v>
      </c>
      <c r="E36" s="198"/>
      <c r="F36" s="198"/>
      <c r="G36" s="198" t="s">
        <v>1414</v>
      </c>
      <c r="H36" s="198"/>
      <c r="I36" s="199">
        <v>130350</v>
      </c>
      <c r="J36" s="199"/>
    </row>
    <row r="37" spans="1:10" x14ac:dyDescent="0.2">
      <c r="A37" s="26"/>
      <c r="B37" s="198"/>
      <c r="C37" s="198"/>
      <c r="D37" s="82"/>
      <c r="E37" s="198"/>
      <c r="F37" s="198"/>
      <c r="G37" s="198"/>
      <c r="H37" s="198"/>
      <c r="I37" s="199"/>
      <c r="J37" s="199"/>
    </row>
    <row r="38" spans="1:10" ht="13.5" thickBot="1" x14ac:dyDescent="0.25">
      <c r="A38" s="9"/>
      <c r="B38" s="128"/>
      <c r="C38" s="128"/>
      <c r="D38" s="9"/>
      <c r="E38" s="128"/>
      <c r="F38" s="128"/>
      <c r="G38" s="128"/>
      <c r="H38" s="128"/>
      <c r="I38" s="226"/>
      <c r="J38" s="226"/>
    </row>
    <row r="39" spans="1:10" ht="13.5" thickTop="1" x14ac:dyDescent="0.2">
      <c r="A39" s="13"/>
      <c r="B39" s="13"/>
      <c r="C39" s="13"/>
      <c r="D39" s="13"/>
      <c r="E39" s="13"/>
      <c r="F39" s="13"/>
      <c r="G39" s="13"/>
      <c r="H39" s="13" t="s">
        <v>33</v>
      </c>
      <c r="I39" s="140">
        <f>SUM(I26:J38)</f>
        <v>1266729.149</v>
      </c>
      <c r="J39" s="140"/>
    </row>
    <row r="40" spans="1:10" x14ac:dyDescent="0.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 x14ac:dyDescent="0.25">
      <c r="A41" s="15" t="s">
        <v>46</v>
      </c>
      <c r="B41" s="16"/>
      <c r="C41" s="16"/>
      <c r="D41" s="16"/>
      <c r="E41" s="16"/>
      <c r="F41" s="16"/>
      <c r="G41" s="16"/>
      <c r="H41" s="16"/>
      <c r="I41" s="149" t="s">
        <v>47</v>
      </c>
      <c r="J41" s="150"/>
    </row>
    <row r="42" spans="1:10" x14ac:dyDescent="0.2">
      <c r="A42" s="144" t="s">
        <v>48</v>
      </c>
      <c r="B42" s="144"/>
      <c r="C42" s="144"/>
      <c r="D42" s="144"/>
      <c r="E42" s="144"/>
      <c r="F42" s="144"/>
      <c r="G42" s="144"/>
      <c r="H42" s="144"/>
      <c r="I42" s="148">
        <f>I21*80%</f>
        <v>2281848.4240000001</v>
      </c>
      <c r="J42" s="148"/>
    </row>
    <row r="43" spans="1:10" x14ac:dyDescent="0.2">
      <c r="A43" s="144" t="s">
        <v>49</v>
      </c>
      <c r="B43" s="144"/>
      <c r="C43" s="144"/>
      <c r="D43" s="144"/>
      <c r="E43" s="144"/>
      <c r="F43" s="144"/>
      <c r="G43" s="144"/>
      <c r="H43" s="144"/>
      <c r="I43" s="184">
        <f>4966-74444-34463</f>
        <v>-103941</v>
      </c>
      <c r="J43" s="184"/>
    </row>
    <row r="44" spans="1:10" x14ac:dyDescent="0.2">
      <c r="A44" s="300" t="s">
        <v>16</v>
      </c>
      <c r="B44" s="301"/>
      <c r="C44" s="301"/>
      <c r="D44" s="301"/>
      <c r="E44" s="301"/>
      <c r="F44" s="301"/>
      <c r="G44" s="301"/>
      <c r="H44" s="302"/>
      <c r="I44" s="146">
        <v>94710</v>
      </c>
      <c r="J44" s="147"/>
    </row>
    <row r="45" spans="1:10" x14ac:dyDescent="0.2">
      <c r="A45" s="300" t="s">
        <v>843</v>
      </c>
      <c r="B45" s="301"/>
      <c r="C45" s="301"/>
      <c r="D45" s="301"/>
      <c r="E45" s="301"/>
      <c r="F45" s="301"/>
      <c r="G45" s="301"/>
      <c r="H45" s="302"/>
      <c r="I45" s="146">
        <v>-94710</v>
      </c>
      <c r="J45" s="147"/>
    </row>
    <row r="46" spans="1:10" x14ac:dyDescent="0.2">
      <c r="A46" s="185" t="s">
        <v>17</v>
      </c>
      <c r="B46" s="142"/>
      <c r="C46" s="142"/>
      <c r="D46" s="142"/>
      <c r="E46" s="142"/>
      <c r="F46" s="142"/>
      <c r="G46" s="142"/>
      <c r="H46" s="143"/>
      <c r="I46" s="146">
        <v>126000</v>
      </c>
      <c r="J46" s="147"/>
    </row>
    <row r="47" spans="1:10" x14ac:dyDescent="0.2">
      <c r="A47" s="185" t="s">
        <v>920</v>
      </c>
      <c r="B47" s="142"/>
      <c r="C47" s="142"/>
      <c r="D47" s="142"/>
      <c r="E47" s="142"/>
      <c r="F47" s="142"/>
      <c r="G47" s="142"/>
      <c r="H47" s="143"/>
      <c r="I47" s="146">
        <v>-126000</v>
      </c>
      <c r="J47" s="147"/>
    </row>
    <row r="48" spans="1:10" x14ac:dyDescent="0.2">
      <c r="A48" s="187" t="s">
        <v>1244</v>
      </c>
      <c r="B48" s="188"/>
      <c r="C48" s="188"/>
      <c r="D48" s="188"/>
      <c r="E48" s="188"/>
      <c r="F48" s="188"/>
      <c r="G48" s="188"/>
      <c r="H48" s="189"/>
      <c r="I48" s="190">
        <v>-307793.17</v>
      </c>
      <c r="J48" s="191"/>
    </row>
    <row r="49" spans="1:10" x14ac:dyDescent="0.2">
      <c r="A49" s="187" t="s">
        <v>1512</v>
      </c>
      <c r="B49" s="188"/>
      <c r="C49" s="188"/>
      <c r="D49" s="188"/>
      <c r="E49" s="188"/>
      <c r="F49" s="188"/>
      <c r="G49" s="188"/>
      <c r="H49" s="189"/>
      <c r="I49" s="190">
        <v>-121595.5</v>
      </c>
      <c r="J49" s="191"/>
    </row>
    <row r="50" spans="1:10" ht="13.5" thickBot="1" x14ac:dyDescent="0.25">
      <c r="A50" s="144" t="s">
        <v>50</v>
      </c>
      <c r="B50" s="144"/>
      <c r="C50" s="144"/>
      <c r="D50" s="144"/>
      <c r="E50" s="144"/>
      <c r="F50" s="144"/>
      <c r="G50" s="144"/>
      <c r="H50" s="144"/>
      <c r="I50" s="145">
        <f>I39</f>
        <v>1266729.149</v>
      </c>
      <c r="J50" s="145"/>
    </row>
    <row r="51" spans="1:10" ht="13.5" thickTop="1" x14ac:dyDescent="0.2">
      <c r="H51" s="18" t="s">
        <v>33</v>
      </c>
      <c r="I51" s="129">
        <f>I42+I43+I44+I45+I46+I47+I48+I49-I50</f>
        <v>481789.60500000021</v>
      </c>
      <c r="J51" s="130"/>
    </row>
    <row r="53" spans="1:10" ht="15" x14ac:dyDescent="0.25">
      <c r="A53" s="131" t="s">
        <v>51</v>
      </c>
      <c r="B53" s="132"/>
      <c r="C53" s="132"/>
      <c r="D53" s="132"/>
      <c r="E53" s="132"/>
      <c r="F53" s="132"/>
      <c r="G53" s="132"/>
      <c r="H53" s="132"/>
      <c r="I53" s="132"/>
      <c r="J53" s="133"/>
    </row>
    <row r="54" spans="1:10" x14ac:dyDescent="0.2">
      <c r="A54" s="139" t="s">
        <v>1559</v>
      </c>
      <c r="B54" s="139"/>
      <c r="C54" s="139"/>
      <c r="D54" s="139"/>
      <c r="E54" s="139"/>
      <c r="F54" s="139"/>
      <c r="G54" s="139"/>
      <c r="H54" s="139"/>
      <c r="I54" s="139"/>
      <c r="J54" s="139"/>
    </row>
    <row r="55" spans="1:10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</row>
    <row r="56" spans="1:10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</row>
    <row r="57" spans="1:10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</row>
    <row r="59" spans="1:10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</row>
  </sheetData>
  <mergeCells count="136">
    <mergeCell ref="B35:C35"/>
    <mergeCell ref="E35:F35"/>
    <mergeCell ref="G35:H35"/>
    <mergeCell ref="I35:J35"/>
    <mergeCell ref="I36:J36"/>
    <mergeCell ref="B37:C37"/>
    <mergeCell ref="A48:H48"/>
    <mergeCell ref="I48:J48"/>
    <mergeCell ref="I45:J45"/>
    <mergeCell ref="A47:H47"/>
    <mergeCell ref="I47:J47"/>
    <mergeCell ref="I44:J44"/>
    <mergeCell ref="I46:J46"/>
    <mergeCell ref="A45:H45"/>
    <mergeCell ref="I41:J41"/>
    <mergeCell ref="A46:H46"/>
    <mergeCell ref="E37:F37"/>
    <mergeCell ref="G37:H37"/>
    <mergeCell ref="I37:J37"/>
    <mergeCell ref="G19:H19"/>
    <mergeCell ref="A23:J23"/>
    <mergeCell ref="I26:J26"/>
    <mergeCell ref="G27:H27"/>
    <mergeCell ref="B26:C26"/>
    <mergeCell ref="E26:F26"/>
    <mergeCell ref="I31:J31"/>
    <mergeCell ref="I32:J32"/>
    <mergeCell ref="E32:F32"/>
    <mergeCell ref="G32:H32"/>
    <mergeCell ref="E30:F30"/>
    <mergeCell ref="G30:H30"/>
    <mergeCell ref="A24:A25"/>
    <mergeCell ref="E28:F28"/>
    <mergeCell ref="B24:C25"/>
    <mergeCell ref="D24:D25"/>
    <mergeCell ref="E24:F25"/>
    <mergeCell ref="G28:H28"/>
    <mergeCell ref="I28:J28"/>
    <mergeCell ref="G31:H31"/>
    <mergeCell ref="I29:J29"/>
    <mergeCell ref="A53:J53"/>
    <mergeCell ref="A54:J59"/>
    <mergeCell ref="I4:I5"/>
    <mergeCell ref="J4:J5"/>
    <mergeCell ref="A43:H43"/>
    <mergeCell ref="I43:J43"/>
    <mergeCell ref="A50:H50"/>
    <mergeCell ref="I50:J50"/>
    <mergeCell ref="I39:J39"/>
    <mergeCell ref="I33:J33"/>
    <mergeCell ref="G34:H34"/>
    <mergeCell ref="I34:J34"/>
    <mergeCell ref="A42:H42"/>
    <mergeCell ref="I42:J42"/>
    <mergeCell ref="B38:C38"/>
    <mergeCell ref="E38:F38"/>
    <mergeCell ref="G38:H38"/>
    <mergeCell ref="I30:J30"/>
    <mergeCell ref="B31:C31"/>
    <mergeCell ref="E31:F31"/>
    <mergeCell ref="I51:J51"/>
    <mergeCell ref="G26:H26"/>
    <mergeCell ref="I24:J25"/>
    <mergeCell ref="G24:H25"/>
    <mergeCell ref="A3:J3"/>
    <mergeCell ref="A4:A5"/>
    <mergeCell ref="B4:E4"/>
    <mergeCell ref="F4:F5"/>
    <mergeCell ref="G4:H5"/>
    <mergeCell ref="B5:C5"/>
    <mergeCell ref="G16:H16"/>
    <mergeCell ref="D5:E5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D7:E7"/>
    <mergeCell ref="G8:H8"/>
    <mergeCell ref="B11:C11"/>
    <mergeCell ref="D11:E11"/>
    <mergeCell ref="G11:H11"/>
    <mergeCell ref="B15:C15"/>
    <mergeCell ref="D15:E15"/>
    <mergeCell ref="B7:C7"/>
    <mergeCell ref="B12:C12"/>
    <mergeCell ref="B20:C20"/>
    <mergeCell ref="D20:E20"/>
    <mergeCell ref="G20:H20"/>
    <mergeCell ref="D16:E16"/>
    <mergeCell ref="B10:C10"/>
    <mergeCell ref="D10:E10"/>
    <mergeCell ref="G10:H10"/>
    <mergeCell ref="B18:C18"/>
    <mergeCell ref="D18:E18"/>
    <mergeCell ref="G18:H18"/>
    <mergeCell ref="B14:C14"/>
    <mergeCell ref="D13:E13"/>
    <mergeCell ref="D14:E14"/>
    <mergeCell ref="B16:C16"/>
    <mergeCell ref="G15:H15"/>
    <mergeCell ref="D12:E12"/>
    <mergeCell ref="G12:H12"/>
    <mergeCell ref="G13:H13"/>
    <mergeCell ref="G14:H14"/>
    <mergeCell ref="B13:C13"/>
    <mergeCell ref="B19:C19"/>
    <mergeCell ref="D19:E19"/>
    <mergeCell ref="A49:H49"/>
    <mergeCell ref="I49:J49"/>
    <mergeCell ref="B17:C17"/>
    <mergeCell ref="D17:E17"/>
    <mergeCell ref="G17:H17"/>
    <mergeCell ref="B32:C32"/>
    <mergeCell ref="A44:H44"/>
    <mergeCell ref="B29:C29"/>
    <mergeCell ref="E29:F29"/>
    <mergeCell ref="G29:H29"/>
    <mergeCell ref="B30:C30"/>
    <mergeCell ref="B36:C36"/>
    <mergeCell ref="E36:F36"/>
    <mergeCell ref="G36:H36"/>
    <mergeCell ref="I27:J27"/>
    <mergeCell ref="B28:C28"/>
    <mergeCell ref="B33:C33"/>
    <mergeCell ref="E33:F33"/>
    <mergeCell ref="G33:H33"/>
    <mergeCell ref="B27:C27"/>
    <mergeCell ref="E27:F27"/>
    <mergeCell ref="I38:J38"/>
    <mergeCell ref="B34:C34"/>
    <mergeCell ref="E34:F34"/>
  </mergeCells>
  <phoneticPr fontId="6" type="noConversion"/>
  <pageMargins left="0.75" right="0.75" top="1" bottom="1" header="0.5" footer="0.5"/>
  <pageSetup scale="8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2"/>
  <sheetViews>
    <sheetView topLeftCell="A13" workbookViewId="0">
      <selection activeCell="G20" sqref="G20:H20"/>
    </sheetView>
  </sheetViews>
  <sheetFormatPr defaultRowHeight="12.75" x14ac:dyDescent="0.2"/>
  <cols>
    <col min="7" max="7" width="13.28515625" customWidth="1"/>
    <col min="8" max="8" width="11.5703125" customWidth="1"/>
    <col min="9" max="9" width="11.28515625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1285</v>
      </c>
      <c r="B2" s="6"/>
      <c r="C2" s="6"/>
      <c r="D2" s="6"/>
      <c r="E2" s="6"/>
      <c r="F2" s="6"/>
      <c r="G2" s="6"/>
      <c r="H2" s="6"/>
      <c r="I2" s="6"/>
      <c r="J2" s="59" t="s">
        <v>715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/>
      <c r="C6" s="128"/>
      <c r="D6" s="128"/>
      <c r="E6" s="128"/>
      <c r="F6" s="12"/>
      <c r="G6" s="169"/>
      <c r="H6" s="169"/>
      <c r="I6" s="11"/>
      <c r="J6" s="11"/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11"/>
      <c r="J7" s="11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11"/>
      <c r="J8" s="11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11"/>
      <c r="J9" s="11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11"/>
      <c r="J10" s="11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11"/>
      <c r="J11" s="11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11"/>
      <c r="J12" s="11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11"/>
      <c r="J13" s="11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14">
        <f>SUM(I6:I13)</f>
        <v>0</v>
      </c>
      <c r="J14" s="14">
        <f>SUM(J6:J13)</f>
        <v>0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9">
        <v>1</v>
      </c>
      <c r="B19" s="137"/>
      <c r="C19" s="137"/>
      <c r="D19" s="19">
        <v>99473</v>
      </c>
      <c r="E19" s="137"/>
      <c r="F19" s="137"/>
      <c r="G19" s="137" t="s">
        <v>1286</v>
      </c>
      <c r="H19" s="137"/>
      <c r="I19" s="138">
        <v>137400.76999999999</v>
      </c>
      <c r="J19" s="138"/>
    </row>
    <row r="20" spans="1:10" x14ac:dyDescent="0.2">
      <c r="A20" s="58"/>
      <c r="B20" s="151"/>
      <c r="C20" s="151"/>
      <c r="D20" s="58">
        <v>115174</v>
      </c>
      <c r="E20" s="151"/>
      <c r="F20" s="151"/>
      <c r="G20" s="151" t="s">
        <v>1415</v>
      </c>
      <c r="H20" s="151"/>
      <c r="I20" s="152">
        <v>26599.23</v>
      </c>
      <c r="J20" s="152"/>
    </row>
    <row r="21" spans="1:10" x14ac:dyDescent="0.2">
      <c r="A21" s="9"/>
      <c r="B21" s="128"/>
      <c r="C21" s="128"/>
      <c r="D21" s="9"/>
      <c r="E21" s="128"/>
      <c r="F21" s="128"/>
      <c r="G21" s="128"/>
      <c r="H21" s="128"/>
      <c r="I21" s="136"/>
      <c r="J21" s="136"/>
    </row>
    <row r="22" spans="1:10" x14ac:dyDescent="0.2">
      <c r="A22" s="9"/>
      <c r="B22" s="128"/>
      <c r="C22" s="128"/>
      <c r="D22" s="9"/>
      <c r="E22" s="128"/>
      <c r="F22" s="128"/>
      <c r="G22" s="128"/>
      <c r="H22" s="128"/>
      <c r="I22" s="136"/>
      <c r="J22" s="136"/>
    </row>
    <row r="23" spans="1:10" x14ac:dyDescent="0.2">
      <c r="A23" s="9"/>
      <c r="B23" s="128"/>
      <c r="C23" s="128"/>
      <c r="D23" s="9"/>
      <c r="E23" s="128"/>
      <c r="F23" s="128"/>
      <c r="G23" s="128"/>
      <c r="H23" s="128"/>
      <c r="I23" s="136"/>
      <c r="J23" s="136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136"/>
      <c r="J24" s="136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ht="13.5" thickBot="1" x14ac:dyDescent="0.25">
      <c r="A26" s="9"/>
      <c r="B26" s="128"/>
      <c r="C26" s="128"/>
      <c r="D26" s="9"/>
      <c r="E26" s="128"/>
      <c r="F26" s="128"/>
      <c r="G26" s="128"/>
      <c r="H26" s="128"/>
      <c r="I26" s="226"/>
      <c r="J26" s="22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0">
        <f>SUM(I19:J26)</f>
        <v>164000</v>
      </c>
      <c r="J27" s="140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49" t="s">
        <v>47</v>
      </c>
      <c r="J29" s="150"/>
    </row>
    <row r="30" spans="1:10" x14ac:dyDescent="0.2">
      <c r="A30" s="144" t="s">
        <v>48</v>
      </c>
      <c r="B30" s="144"/>
      <c r="C30" s="144"/>
      <c r="D30" s="144"/>
      <c r="E30" s="144"/>
      <c r="F30" s="144"/>
      <c r="G30" s="144"/>
      <c r="H30" s="144"/>
      <c r="I30" s="148">
        <f>I14*80%</f>
        <v>0</v>
      </c>
      <c r="J30" s="148"/>
    </row>
    <row r="31" spans="1:10" x14ac:dyDescent="0.2">
      <c r="A31" s="144" t="s">
        <v>49</v>
      </c>
      <c r="B31" s="144"/>
      <c r="C31" s="144"/>
      <c r="D31" s="144"/>
      <c r="E31" s="144"/>
      <c r="F31" s="144"/>
      <c r="G31" s="144"/>
      <c r="H31" s="144"/>
      <c r="I31" s="184">
        <f>I26</f>
        <v>0</v>
      </c>
      <c r="J31" s="184"/>
    </row>
    <row r="32" spans="1:10" x14ac:dyDescent="0.2">
      <c r="A32" s="231" t="s">
        <v>1287</v>
      </c>
      <c r="B32" s="144"/>
      <c r="C32" s="144"/>
      <c r="D32" s="144"/>
      <c r="E32" s="144"/>
      <c r="F32" s="144"/>
      <c r="G32" s="144"/>
      <c r="H32" s="144"/>
      <c r="I32" s="184">
        <v>164000</v>
      </c>
      <c r="J32" s="184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145">
        <f>I27</f>
        <v>164000</v>
      </c>
      <c r="J33" s="145"/>
    </row>
    <row r="34" spans="1:10" ht="13.5" thickTop="1" x14ac:dyDescent="0.2">
      <c r="H34" s="18" t="s">
        <v>33</v>
      </c>
      <c r="I34" s="129">
        <f>I30+I31+I32-I33</f>
        <v>0</v>
      </c>
      <c r="J34" s="130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85"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I29:J29"/>
    <mergeCell ref="A30:H30"/>
    <mergeCell ref="I30:J30"/>
    <mergeCell ref="A31:H31"/>
    <mergeCell ref="I31:J31"/>
    <mergeCell ref="B26:C26"/>
    <mergeCell ref="E26:F26"/>
    <mergeCell ref="G26:H26"/>
    <mergeCell ref="I26:J26"/>
    <mergeCell ref="I27:J27"/>
    <mergeCell ref="I34:J34"/>
    <mergeCell ref="A36:J36"/>
    <mergeCell ref="A37:J42"/>
    <mergeCell ref="A32:H32"/>
    <mergeCell ref="I32:J32"/>
    <mergeCell ref="A33:H33"/>
    <mergeCell ref="I33:J3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56"/>
  <sheetViews>
    <sheetView topLeftCell="A13" workbookViewId="0">
      <selection activeCell="J18" sqref="J18"/>
    </sheetView>
  </sheetViews>
  <sheetFormatPr defaultRowHeight="12.75" x14ac:dyDescent="0.2"/>
  <cols>
    <col min="6" max="6" width="16.42578125" bestFit="1" customWidth="1"/>
    <col min="8" max="8" width="9.85546875" customWidth="1"/>
    <col min="9" max="9" width="13.855468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52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69"/>
    </row>
    <row r="6" spans="1:10" x14ac:dyDescent="0.2">
      <c r="A6" s="9">
        <v>1</v>
      </c>
      <c r="B6" s="200" t="s">
        <v>55</v>
      </c>
      <c r="C6" s="201"/>
      <c r="D6" s="183" t="s">
        <v>55</v>
      </c>
      <c r="E6" s="128"/>
      <c r="F6" s="12">
        <v>34092</v>
      </c>
      <c r="G6" s="169" t="s">
        <v>56</v>
      </c>
      <c r="H6" s="169"/>
      <c r="I6" s="39">
        <v>97907.66</v>
      </c>
      <c r="J6" s="32">
        <f>I6*0.8</f>
        <v>78326.128000000012</v>
      </c>
    </row>
    <row r="7" spans="1:10" x14ac:dyDescent="0.2">
      <c r="A7" s="9">
        <v>2</v>
      </c>
      <c r="B7" s="200" t="s">
        <v>57</v>
      </c>
      <c r="C7" s="201"/>
      <c r="D7" s="183" t="s">
        <v>57</v>
      </c>
      <c r="E7" s="128"/>
      <c r="F7" s="12">
        <v>34092</v>
      </c>
      <c r="G7" s="169" t="s">
        <v>58</v>
      </c>
      <c r="H7" s="169"/>
      <c r="I7" s="39">
        <v>92086.92</v>
      </c>
      <c r="J7" s="32">
        <f t="shared" ref="J7:J18" si="0">I7*0.8</f>
        <v>73669.536000000007</v>
      </c>
    </row>
    <row r="8" spans="1:10" x14ac:dyDescent="0.2">
      <c r="A8" s="9">
        <v>3</v>
      </c>
      <c r="B8" s="200" t="s">
        <v>59</v>
      </c>
      <c r="C8" s="201"/>
      <c r="D8" s="183" t="s">
        <v>60</v>
      </c>
      <c r="E8" s="128"/>
      <c r="F8" s="12">
        <v>34479</v>
      </c>
      <c r="G8" s="169" t="s">
        <v>61</v>
      </c>
      <c r="H8" s="169"/>
      <c r="I8" s="39">
        <v>72384.45</v>
      </c>
      <c r="J8" s="32">
        <f t="shared" si="0"/>
        <v>57907.56</v>
      </c>
    </row>
    <row r="9" spans="1:10" x14ac:dyDescent="0.2">
      <c r="A9" s="9">
        <v>4</v>
      </c>
      <c r="B9" s="200" t="s">
        <v>62</v>
      </c>
      <c r="C9" s="201"/>
      <c r="D9" s="183" t="s">
        <v>63</v>
      </c>
      <c r="E9" s="128"/>
      <c r="F9" s="12">
        <v>34479</v>
      </c>
      <c r="G9" s="169" t="s">
        <v>64</v>
      </c>
      <c r="H9" s="169"/>
      <c r="I9" s="39">
        <v>75600.639999999999</v>
      </c>
      <c r="J9" s="32">
        <f t="shared" si="0"/>
        <v>60480.512000000002</v>
      </c>
    </row>
    <row r="10" spans="1:10" x14ac:dyDescent="0.2">
      <c r="A10" s="9">
        <v>5</v>
      </c>
      <c r="B10" s="200" t="s">
        <v>65</v>
      </c>
      <c r="C10" s="201"/>
      <c r="D10" s="183" t="s">
        <v>66</v>
      </c>
      <c r="E10" s="128"/>
      <c r="F10" s="12">
        <v>34479</v>
      </c>
      <c r="G10" s="169" t="s">
        <v>67</v>
      </c>
      <c r="H10" s="169"/>
      <c r="I10" s="39">
        <v>74423.63</v>
      </c>
      <c r="J10" s="32">
        <f t="shared" si="0"/>
        <v>59538.90400000001</v>
      </c>
    </row>
    <row r="11" spans="1:10" x14ac:dyDescent="0.2">
      <c r="A11" s="9">
        <v>6</v>
      </c>
      <c r="B11" s="200" t="s">
        <v>68</v>
      </c>
      <c r="C11" s="201"/>
      <c r="D11" s="183" t="s">
        <v>68</v>
      </c>
      <c r="E11" s="128"/>
      <c r="F11" s="12">
        <v>34779</v>
      </c>
      <c r="G11" s="169" t="s">
        <v>69</v>
      </c>
      <c r="H11" s="169"/>
      <c r="I11" s="39">
        <v>63882.57</v>
      </c>
      <c r="J11" s="32">
        <f t="shared" si="0"/>
        <v>51106.056000000004</v>
      </c>
    </row>
    <row r="12" spans="1:10" x14ac:dyDescent="0.2">
      <c r="A12" s="9">
        <v>7</v>
      </c>
      <c r="B12" s="200" t="s">
        <v>70</v>
      </c>
      <c r="C12" s="201"/>
      <c r="D12" s="183" t="s">
        <v>71</v>
      </c>
      <c r="E12" s="128"/>
      <c r="F12" s="12">
        <v>34779</v>
      </c>
      <c r="G12" s="169" t="s">
        <v>72</v>
      </c>
      <c r="H12" s="169"/>
      <c r="I12" s="39">
        <v>61564.5</v>
      </c>
      <c r="J12" s="32">
        <f t="shared" si="0"/>
        <v>49251.600000000006</v>
      </c>
    </row>
    <row r="13" spans="1:10" x14ac:dyDescent="0.2">
      <c r="A13" s="9">
        <v>8</v>
      </c>
      <c r="B13" s="202" t="s">
        <v>73</v>
      </c>
      <c r="C13" s="203"/>
      <c r="D13" s="197" t="s">
        <v>74</v>
      </c>
      <c r="E13" s="204"/>
      <c r="F13" s="12">
        <v>35564</v>
      </c>
      <c r="G13" s="179" t="s">
        <v>75</v>
      </c>
      <c r="H13" s="181"/>
      <c r="I13" s="39">
        <v>65062.95</v>
      </c>
      <c r="J13" s="32">
        <f t="shared" si="0"/>
        <v>52050.36</v>
      </c>
    </row>
    <row r="14" spans="1:10" x14ac:dyDescent="0.2">
      <c r="A14" s="9">
        <v>9</v>
      </c>
      <c r="B14" s="202" t="s">
        <v>76</v>
      </c>
      <c r="C14" s="203"/>
      <c r="D14" s="197" t="s">
        <v>77</v>
      </c>
      <c r="E14" s="204"/>
      <c r="F14" s="12">
        <v>35360</v>
      </c>
      <c r="G14" s="179" t="s">
        <v>78</v>
      </c>
      <c r="H14" s="181"/>
      <c r="I14" s="39">
        <v>148243.78</v>
      </c>
      <c r="J14" s="32">
        <f t="shared" si="0"/>
        <v>118595.024</v>
      </c>
    </row>
    <row r="15" spans="1:10" x14ac:dyDescent="0.2">
      <c r="A15" s="9">
        <v>10</v>
      </c>
      <c r="B15" s="202" t="s">
        <v>79</v>
      </c>
      <c r="C15" s="203"/>
      <c r="D15" s="197" t="s">
        <v>80</v>
      </c>
      <c r="E15" s="204"/>
      <c r="F15" s="12">
        <v>35884</v>
      </c>
      <c r="G15" s="179" t="s">
        <v>81</v>
      </c>
      <c r="H15" s="181"/>
      <c r="I15" s="39">
        <v>59664.3</v>
      </c>
      <c r="J15" s="32">
        <f t="shared" si="0"/>
        <v>47731.44</v>
      </c>
    </row>
    <row r="16" spans="1:10" x14ac:dyDescent="0.2">
      <c r="A16" s="9">
        <v>11</v>
      </c>
      <c r="B16" s="200" t="s">
        <v>82</v>
      </c>
      <c r="C16" s="201"/>
      <c r="D16" s="183" t="s">
        <v>83</v>
      </c>
      <c r="E16" s="128"/>
      <c r="F16" s="12">
        <v>35564</v>
      </c>
      <c r="G16" s="169" t="s">
        <v>84</v>
      </c>
      <c r="H16" s="169"/>
      <c r="I16" s="67">
        <v>113302.17</v>
      </c>
      <c r="J16" s="32">
        <f t="shared" si="0"/>
        <v>90641.736000000004</v>
      </c>
    </row>
    <row r="17" spans="1:10" ht="14.25" customHeight="1" x14ac:dyDescent="0.2">
      <c r="A17" s="9">
        <v>12</v>
      </c>
      <c r="B17" s="224" t="s">
        <v>1361</v>
      </c>
      <c r="C17" s="201"/>
      <c r="D17" s="225" t="s">
        <v>1362</v>
      </c>
      <c r="E17" s="128"/>
      <c r="F17" s="12">
        <v>43732</v>
      </c>
      <c r="G17" s="169"/>
      <c r="H17" s="169"/>
      <c r="I17" s="32">
        <v>271543.28000000003</v>
      </c>
      <c r="J17" s="32">
        <f t="shared" si="0"/>
        <v>217234.62400000004</v>
      </c>
    </row>
    <row r="18" spans="1:10" ht="14.25" customHeight="1" x14ac:dyDescent="0.2">
      <c r="A18" s="9">
        <v>13</v>
      </c>
      <c r="B18" s="200" t="s">
        <v>1641</v>
      </c>
      <c r="C18" s="201"/>
      <c r="D18" s="183">
        <v>333131</v>
      </c>
      <c r="E18" s="128"/>
      <c r="F18" s="12">
        <v>45161</v>
      </c>
      <c r="G18" s="169" t="s">
        <v>1642</v>
      </c>
      <c r="H18" s="169"/>
      <c r="I18" s="95">
        <v>860991.76</v>
      </c>
      <c r="J18" s="32">
        <f t="shared" si="0"/>
        <v>688793.40800000005</v>
      </c>
    </row>
    <row r="19" spans="1:10" ht="14.25" customHeight="1" thickBot="1" x14ac:dyDescent="0.25">
      <c r="A19" s="9"/>
      <c r="B19" s="200"/>
      <c r="C19" s="201"/>
      <c r="D19" s="183"/>
      <c r="E19" s="128"/>
      <c r="F19" s="12"/>
      <c r="G19" s="169"/>
      <c r="H19" s="169"/>
      <c r="I19" s="96"/>
      <c r="J19" s="55"/>
    </row>
    <row r="20" spans="1:10" ht="13.5" thickTop="1" x14ac:dyDescent="0.2">
      <c r="A20" s="13"/>
      <c r="B20" s="13"/>
      <c r="C20" s="13"/>
      <c r="D20" s="13"/>
      <c r="E20" s="13"/>
      <c r="F20" s="13"/>
      <c r="G20" s="13"/>
      <c r="H20" s="13" t="s">
        <v>33</v>
      </c>
      <c r="I20" s="97">
        <f>SUM(I6:I18)</f>
        <v>2056658.61</v>
      </c>
      <c r="J20" s="98">
        <f>SUM(J6:J18)</f>
        <v>1645326.888</v>
      </c>
    </row>
    <row r="21" spans="1:10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 x14ac:dyDescent="0.25">
      <c r="A22" s="131" t="s">
        <v>34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x14ac:dyDescent="0.2">
      <c r="A23" s="169" t="s">
        <v>23</v>
      </c>
      <c r="B23" s="169" t="s">
        <v>35</v>
      </c>
      <c r="C23" s="169"/>
      <c r="D23" s="169" t="s">
        <v>36</v>
      </c>
      <c r="E23" s="169" t="s">
        <v>37</v>
      </c>
      <c r="F23" s="169"/>
      <c r="G23" s="169" t="s">
        <v>38</v>
      </c>
      <c r="H23" s="169"/>
      <c r="I23" s="169" t="s">
        <v>39</v>
      </c>
      <c r="J23" s="169"/>
    </row>
    <row r="24" spans="1:10" x14ac:dyDescent="0.2">
      <c r="A24" s="169"/>
      <c r="B24" s="169"/>
      <c r="C24" s="169"/>
      <c r="D24" s="169"/>
      <c r="E24" s="169"/>
      <c r="F24" s="169"/>
      <c r="G24" s="169"/>
      <c r="H24" s="169"/>
      <c r="I24" s="169"/>
      <c r="J24" s="169"/>
    </row>
    <row r="25" spans="1:10" x14ac:dyDescent="0.2">
      <c r="A25" s="9">
        <v>1</v>
      </c>
      <c r="B25" s="183" t="s">
        <v>85</v>
      </c>
      <c r="C25" s="128"/>
      <c r="D25" s="9">
        <v>12221</v>
      </c>
      <c r="E25" s="182">
        <v>35195</v>
      </c>
      <c r="F25" s="128"/>
      <c r="G25" s="128" t="s">
        <v>86</v>
      </c>
      <c r="H25" s="128"/>
      <c r="I25" s="205">
        <v>29318</v>
      </c>
      <c r="J25" s="205"/>
    </row>
    <row r="26" spans="1:10" x14ac:dyDescent="0.2">
      <c r="A26" s="9">
        <v>2</v>
      </c>
      <c r="B26" s="183" t="s">
        <v>87</v>
      </c>
      <c r="C26" s="128"/>
      <c r="D26" s="9">
        <v>10937</v>
      </c>
      <c r="E26" s="182">
        <v>35993</v>
      </c>
      <c r="F26" s="128"/>
      <c r="G26" s="183" t="s">
        <v>88</v>
      </c>
      <c r="H26" s="128"/>
      <c r="I26" s="205">
        <v>44669</v>
      </c>
      <c r="J26" s="205"/>
    </row>
    <row r="27" spans="1:10" x14ac:dyDescent="0.2">
      <c r="A27" s="9">
        <v>3</v>
      </c>
      <c r="B27" s="183" t="s">
        <v>89</v>
      </c>
      <c r="C27" s="128"/>
      <c r="D27" s="9">
        <v>14333</v>
      </c>
      <c r="E27" s="182">
        <v>36091</v>
      </c>
      <c r="F27" s="128"/>
      <c r="G27" s="183" t="s">
        <v>90</v>
      </c>
      <c r="H27" s="128"/>
      <c r="I27" s="205">
        <v>93178</v>
      </c>
      <c r="J27" s="205"/>
    </row>
    <row r="28" spans="1:10" x14ac:dyDescent="0.2">
      <c r="A28" s="9">
        <v>4</v>
      </c>
      <c r="B28" s="183" t="s">
        <v>91</v>
      </c>
      <c r="C28" s="128"/>
      <c r="D28" s="9">
        <v>15096</v>
      </c>
      <c r="E28" s="182">
        <v>36008</v>
      </c>
      <c r="F28" s="128"/>
      <c r="G28" s="183" t="s">
        <v>92</v>
      </c>
      <c r="H28" s="128"/>
      <c r="I28" s="205">
        <v>43492</v>
      </c>
      <c r="J28" s="205"/>
    </row>
    <row r="29" spans="1:10" x14ac:dyDescent="0.2">
      <c r="A29" s="9">
        <v>5</v>
      </c>
      <c r="B29" s="183" t="s">
        <v>93</v>
      </c>
      <c r="C29" s="128"/>
      <c r="D29" s="9">
        <v>15094</v>
      </c>
      <c r="E29" s="182">
        <v>36465</v>
      </c>
      <c r="F29" s="128"/>
      <c r="G29" s="183" t="s">
        <v>94</v>
      </c>
      <c r="H29" s="128"/>
      <c r="I29" s="205">
        <v>35700</v>
      </c>
      <c r="J29" s="205"/>
    </row>
    <row r="30" spans="1:10" x14ac:dyDescent="0.2">
      <c r="A30" s="9">
        <v>6</v>
      </c>
      <c r="B30" s="183" t="s">
        <v>95</v>
      </c>
      <c r="C30" s="128"/>
      <c r="D30" s="9">
        <v>15095</v>
      </c>
      <c r="E30" s="182">
        <v>36617</v>
      </c>
      <c r="F30" s="128"/>
      <c r="G30" s="183" t="s">
        <v>96</v>
      </c>
      <c r="H30" s="128"/>
      <c r="I30" s="205">
        <v>33320</v>
      </c>
      <c r="J30" s="205"/>
    </row>
    <row r="31" spans="1:10" x14ac:dyDescent="0.2">
      <c r="A31" s="19">
        <v>7</v>
      </c>
      <c r="B31" s="137">
        <v>437074</v>
      </c>
      <c r="C31" s="137"/>
      <c r="D31" s="19">
        <v>77031</v>
      </c>
      <c r="E31" s="196">
        <v>39455</v>
      </c>
      <c r="F31" s="137"/>
      <c r="G31" s="137" t="s">
        <v>97</v>
      </c>
      <c r="H31" s="137"/>
      <c r="I31" s="212">
        <v>45900.639999999999</v>
      </c>
      <c r="J31" s="212"/>
    </row>
    <row r="32" spans="1:10" x14ac:dyDescent="0.2">
      <c r="A32" s="19">
        <v>8</v>
      </c>
      <c r="B32" s="137"/>
      <c r="C32" s="137"/>
      <c r="D32" s="19">
        <v>86041</v>
      </c>
      <c r="E32" s="196">
        <v>41551</v>
      </c>
      <c r="F32" s="137"/>
      <c r="G32" s="137" t="s">
        <v>98</v>
      </c>
      <c r="H32" s="137"/>
      <c r="I32" s="212">
        <v>71137.2</v>
      </c>
      <c r="J32" s="212"/>
    </row>
    <row r="33" spans="1:10" x14ac:dyDescent="0.2">
      <c r="A33" s="82"/>
      <c r="B33" s="198"/>
      <c r="C33" s="198"/>
      <c r="D33" s="82"/>
      <c r="E33" s="155"/>
      <c r="F33" s="168"/>
      <c r="G33" s="155"/>
      <c r="H33" s="168"/>
      <c r="I33" s="223"/>
      <c r="J33" s="223"/>
    </row>
    <row r="34" spans="1:10" x14ac:dyDescent="0.2">
      <c r="A34" s="25"/>
      <c r="B34" s="220"/>
      <c r="C34" s="220"/>
      <c r="D34" s="25"/>
      <c r="E34" s="221"/>
      <c r="F34" s="220"/>
      <c r="G34" s="220"/>
      <c r="H34" s="220"/>
      <c r="I34" s="222"/>
      <c r="J34" s="222"/>
    </row>
    <row r="35" spans="1:10" ht="13.5" thickBot="1" x14ac:dyDescent="0.25">
      <c r="A35" s="19"/>
      <c r="B35" s="137"/>
      <c r="C35" s="137"/>
      <c r="D35" s="19"/>
      <c r="E35" s="196"/>
      <c r="F35" s="137"/>
      <c r="G35" s="137"/>
      <c r="H35" s="137"/>
      <c r="I35" s="218"/>
      <c r="J35" s="218"/>
    </row>
    <row r="36" spans="1:10" ht="13.5" thickTop="1" x14ac:dyDescent="0.2">
      <c r="A36" s="13"/>
      <c r="B36" s="13"/>
      <c r="C36" s="13"/>
      <c r="D36" s="13"/>
      <c r="E36" s="13"/>
      <c r="F36" s="13"/>
      <c r="G36" s="13"/>
      <c r="H36" s="13" t="s">
        <v>33</v>
      </c>
      <c r="I36" s="217">
        <f>SUM(I25:J35)</f>
        <v>396714.84</v>
      </c>
      <c r="J36" s="217"/>
    </row>
    <row r="37" spans="1:10" x14ac:dyDescent="0.2">
      <c r="A37" s="8"/>
      <c r="B37" s="8"/>
      <c r="C37" s="8"/>
      <c r="D37" s="8"/>
      <c r="E37" s="8"/>
      <c r="F37" s="8"/>
      <c r="G37" s="8"/>
      <c r="H37" s="8"/>
      <c r="I37" s="50"/>
      <c r="J37" s="50"/>
    </row>
    <row r="38" spans="1:10" ht="15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210" t="s">
        <v>47</v>
      </c>
      <c r="J38" s="211"/>
    </row>
    <row r="39" spans="1:10" x14ac:dyDescent="0.2">
      <c r="A39" s="144" t="s">
        <v>48</v>
      </c>
      <c r="B39" s="144"/>
      <c r="C39" s="144"/>
      <c r="D39" s="144"/>
      <c r="E39" s="144"/>
      <c r="F39" s="144"/>
      <c r="G39" s="144"/>
      <c r="H39" s="144"/>
      <c r="I39" s="215">
        <f>I20*80%</f>
        <v>1645326.8880000003</v>
      </c>
      <c r="J39" s="215"/>
    </row>
    <row r="40" spans="1:10" x14ac:dyDescent="0.2">
      <c r="A40" s="144" t="s">
        <v>49</v>
      </c>
      <c r="B40" s="144"/>
      <c r="C40" s="144"/>
      <c r="D40" s="144"/>
      <c r="E40" s="144"/>
      <c r="F40" s="144"/>
      <c r="G40" s="144"/>
      <c r="H40" s="144"/>
      <c r="I40" s="208">
        <v>-243000</v>
      </c>
      <c r="J40" s="208"/>
    </row>
    <row r="41" spans="1:10" x14ac:dyDescent="0.2">
      <c r="A41" s="144" t="s">
        <v>1547</v>
      </c>
      <c r="B41" s="144"/>
      <c r="C41" s="144"/>
      <c r="D41" s="144"/>
      <c r="E41" s="144"/>
      <c r="F41" s="144"/>
      <c r="G41" s="144"/>
      <c r="H41" s="144"/>
      <c r="I41" s="208">
        <v>7768</v>
      </c>
      <c r="J41" s="208"/>
    </row>
    <row r="42" spans="1:10" x14ac:dyDescent="0.2">
      <c r="A42" s="134" t="s">
        <v>1209</v>
      </c>
      <c r="B42" s="134"/>
      <c r="C42" s="134"/>
      <c r="D42" s="134"/>
      <c r="E42" s="134"/>
      <c r="F42" s="134"/>
      <c r="G42" s="134"/>
      <c r="H42" s="134"/>
      <c r="I42" s="216">
        <v>-98999.96</v>
      </c>
      <c r="J42" s="216"/>
    </row>
    <row r="43" spans="1:10" x14ac:dyDescent="0.2">
      <c r="A43" s="134" t="s">
        <v>1459</v>
      </c>
      <c r="B43" s="134"/>
      <c r="C43" s="134"/>
      <c r="D43" s="134"/>
      <c r="E43" s="134"/>
      <c r="F43" s="134"/>
      <c r="G43" s="134"/>
      <c r="H43" s="134"/>
      <c r="I43" s="216">
        <v>-103941</v>
      </c>
      <c r="J43" s="216"/>
    </row>
    <row r="44" spans="1:10" x14ac:dyDescent="0.2">
      <c r="A44" s="144" t="s">
        <v>1558</v>
      </c>
      <c r="B44" s="144"/>
      <c r="C44" s="144"/>
      <c r="D44" s="144"/>
      <c r="E44" s="144"/>
      <c r="F44" s="144"/>
      <c r="G44" s="144"/>
      <c r="H44" s="144"/>
      <c r="I44" s="219">
        <v>-82919.820000000007</v>
      </c>
      <c r="J44" s="219"/>
    </row>
    <row r="45" spans="1:10" x14ac:dyDescent="0.2">
      <c r="A45" s="134"/>
      <c r="B45" s="134"/>
      <c r="C45" s="134"/>
      <c r="D45" s="134"/>
      <c r="E45" s="134"/>
      <c r="F45" s="134"/>
      <c r="G45" s="134"/>
      <c r="H45" s="134"/>
      <c r="I45" s="216"/>
      <c r="J45" s="216"/>
    </row>
    <row r="46" spans="1:10" x14ac:dyDescent="0.2">
      <c r="A46" s="134"/>
      <c r="B46" s="134"/>
      <c r="C46" s="134"/>
      <c r="D46" s="134"/>
      <c r="E46" s="134"/>
      <c r="F46" s="134"/>
      <c r="G46" s="134"/>
      <c r="H46" s="134"/>
      <c r="I46" s="216"/>
      <c r="J46" s="216"/>
    </row>
    <row r="47" spans="1:10" ht="13.5" thickBot="1" x14ac:dyDescent="0.25">
      <c r="A47" s="144" t="s">
        <v>50</v>
      </c>
      <c r="B47" s="144"/>
      <c r="C47" s="144"/>
      <c r="D47" s="144"/>
      <c r="E47" s="144"/>
      <c r="F47" s="144"/>
      <c r="G47" s="144"/>
      <c r="H47" s="144"/>
      <c r="I47" s="209">
        <f>I36</f>
        <v>396714.84</v>
      </c>
      <c r="J47" s="209"/>
    </row>
    <row r="48" spans="1:10" ht="13.5" thickTop="1" x14ac:dyDescent="0.2">
      <c r="H48" s="18" t="s">
        <v>33</v>
      </c>
      <c r="I48" s="213">
        <f>SUM(I39:J46)-I47</f>
        <v>727519.26800000016</v>
      </c>
      <c r="J48" s="214"/>
    </row>
    <row r="50" spans="1:10" ht="15" x14ac:dyDescent="0.25">
      <c r="A50" s="131" t="s">
        <v>51</v>
      </c>
      <c r="B50" s="132"/>
      <c r="C50" s="132"/>
      <c r="D50" s="132"/>
      <c r="E50" s="132"/>
      <c r="F50" s="132"/>
      <c r="G50" s="132"/>
      <c r="H50" s="132"/>
      <c r="I50" s="132"/>
      <c r="J50" s="133"/>
    </row>
    <row r="51" spans="1:10" x14ac:dyDescent="0.2">
      <c r="A51" s="206" t="s">
        <v>1548</v>
      </c>
      <c r="B51" s="207"/>
      <c r="C51" s="207"/>
      <c r="D51" s="207"/>
      <c r="E51" s="207"/>
      <c r="F51" s="207"/>
      <c r="G51" s="207"/>
      <c r="H51" s="207"/>
      <c r="I51" s="207"/>
      <c r="J51" s="207"/>
    </row>
    <row r="52" spans="1:10" x14ac:dyDescent="0.2">
      <c r="A52" s="207"/>
      <c r="B52" s="207"/>
      <c r="C52" s="207"/>
      <c r="D52" s="207"/>
      <c r="E52" s="207"/>
      <c r="F52" s="207"/>
      <c r="G52" s="207"/>
      <c r="H52" s="207"/>
      <c r="I52" s="207"/>
      <c r="J52" s="207"/>
    </row>
    <row r="53" spans="1:10" x14ac:dyDescent="0.2">
      <c r="A53" s="207"/>
      <c r="B53" s="207"/>
      <c r="C53" s="207"/>
      <c r="D53" s="207"/>
      <c r="E53" s="207"/>
      <c r="F53" s="207"/>
      <c r="G53" s="207"/>
      <c r="H53" s="207"/>
      <c r="I53" s="207"/>
      <c r="J53" s="207"/>
    </row>
    <row r="54" spans="1:10" x14ac:dyDescent="0.2">
      <c r="A54" s="207"/>
      <c r="B54" s="207"/>
      <c r="C54" s="207"/>
      <c r="D54" s="207"/>
      <c r="E54" s="207"/>
      <c r="F54" s="207"/>
      <c r="G54" s="207"/>
      <c r="H54" s="207"/>
      <c r="I54" s="207"/>
      <c r="J54" s="207"/>
    </row>
    <row r="55" spans="1:10" x14ac:dyDescent="0.2">
      <c r="A55" s="207"/>
      <c r="B55" s="207"/>
      <c r="C55" s="207"/>
      <c r="D55" s="207"/>
      <c r="E55" s="207"/>
      <c r="F55" s="207"/>
      <c r="G55" s="207"/>
      <c r="H55" s="207"/>
      <c r="I55" s="207"/>
      <c r="J55" s="207"/>
    </row>
    <row r="56" spans="1:10" x14ac:dyDescent="0.2">
      <c r="A56" s="207"/>
      <c r="B56" s="207"/>
      <c r="C56" s="207"/>
      <c r="D56" s="207"/>
      <c r="E56" s="207"/>
      <c r="F56" s="207"/>
      <c r="G56" s="207"/>
      <c r="H56" s="207"/>
      <c r="I56" s="207"/>
      <c r="J56" s="207"/>
    </row>
  </sheetData>
  <mergeCells count="125">
    <mergeCell ref="B29:C29"/>
    <mergeCell ref="E29:F29"/>
    <mergeCell ref="G29:H29"/>
    <mergeCell ref="B27:C27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B26:C26"/>
    <mergeCell ref="E26:F26"/>
    <mergeCell ref="G26:H26"/>
    <mergeCell ref="B34:C34"/>
    <mergeCell ref="E34:F34"/>
    <mergeCell ref="G34:H34"/>
    <mergeCell ref="E27:F27"/>
    <mergeCell ref="G27:H27"/>
    <mergeCell ref="A22:J22"/>
    <mergeCell ref="A23:A24"/>
    <mergeCell ref="B23:C24"/>
    <mergeCell ref="D23:D24"/>
    <mergeCell ref="E23:F24"/>
    <mergeCell ref="G23:H24"/>
    <mergeCell ref="I23:J24"/>
    <mergeCell ref="B33:C33"/>
    <mergeCell ref="E33:F33"/>
    <mergeCell ref="G33:H33"/>
    <mergeCell ref="I34:J34"/>
    <mergeCell ref="G32:H32"/>
    <mergeCell ref="I32:J32"/>
    <mergeCell ref="E32:F32"/>
    <mergeCell ref="I33:J33"/>
    <mergeCell ref="B25:C25"/>
    <mergeCell ref="E25:F25"/>
    <mergeCell ref="G25:H25"/>
    <mergeCell ref="I25:J25"/>
    <mergeCell ref="I48:J48"/>
    <mergeCell ref="A39:H39"/>
    <mergeCell ref="I39:J39"/>
    <mergeCell ref="B35:C35"/>
    <mergeCell ref="E35:F35"/>
    <mergeCell ref="A43:H43"/>
    <mergeCell ref="I43:J43"/>
    <mergeCell ref="A50:J50"/>
    <mergeCell ref="I36:J36"/>
    <mergeCell ref="I35:J35"/>
    <mergeCell ref="A42:H42"/>
    <mergeCell ref="I42:J42"/>
    <mergeCell ref="A41:H41"/>
    <mergeCell ref="I41:J41"/>
    <mergeCell ref="A44:H44"/>
    <mergeCell ref="I44:J44"/>
    <mergeCell ref="A45:H45"/>
    <mergeCell ref="I45:J45"/>
    <mergeCell ref="A46:H46"/>
    <mergeCell ref="I46:J46"/>
    <mergeCell ref="A51:J56"/>
    <mergeCell ref="I4:I5"/>
    <mergeCell ref="J4:J5"/>
    <mergeCell ref="A40:H40"/>
    <mergeCell ref="I40:J40"/>
    <mergeCell ref="A47:H47"/>
    <mergeCell ref="I47:J47"/>
    <mergeCell ref="B32:C32"/>
    <mergeCell ref="I38:J38"/>
    <mergeCell ref="G35:H35"/>
    <mergeCell ref="I29:J29"/>
    <mergeCell ref="B30:C30"/>
    <mergeCell ref="E30:F30"/>
    <mergeCell ref="G30:H30"/>
    <mergeCell ref="I30:J30"/>
    <mergeCell ref="B31:C31"/>
    <mergeCell ref="E31:F31"/>
    <mergeCell ref="G31:H31"/>
    <mergeCell ref="I31:J31"/>
    <mergeCell ref="I27:J27"/>
    <mergeCell ref="B28:C28"/>
    <mergeCell ref="E28:F28"/>
    <mergeCell ref="G28:H28"/>
    <mergeCell ref="I28:J28"/>
    <mergeCell ref="I26:J26"/>
    <mergeCell ref="B16:C16"/>
    <mergeCell ref="D16:E16"/>
    <mergeCell ref="G16:H16"/>
    <mergeCell ref="B15:C15"/>
    <mergeCell ref="D15:E15"/>
    <mergeCell ref="G15:H15"/>
    <mergeCell ref="B14:C14"/>
    <mergeCell ref="D14:E14"/>
    <mergeCell ref="G14:H14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G7:H7"/>
    <mergeCell ref="A3:J3"/>
    <mergeCell ref="A4:A5"/>
    <mergeCell ref="B4:E4"/>
    <mergeCell ref="F4:F5"/>
    <mergeCell ref="G4:H5"/>
    <mergeCell ref="B5:C5"/>
    <mergeCell ref="D5:E5"/>
    <mergeCell ref="B6:C6"/>
    <mergeCell ref="D6:E6"/>
    <mergeCell ref="G6:H6"/>
    <mergeCell ref="B8:C8"/>
    <mergeCell ref="D8:E8"/>
    <mergeCell ref="G8:H8"/>
    <mergeCell ref="B7:C7"/>
    <mergeCell ref="D7:E7"/>
  </mergeCells>
  <phoneticPr fontId="6" type="noConversion"/>
  <pageMargins left="0.75" right="0.75" top="1" bottom="1" header="0.5" footer="0.5"/>
  <pageSetup scale="86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5">
    <pageSetUpPr fitToPage="1"/>
  </sheetPr>
  <dimension ref="A1:K58"/>
  <sheetViews>
    <sheetView topLeftCell="A19" workbookViewId="0">
      <selection activeCell="I51" sqref="I51"/>
    </sheetView>
  </sheetViews>
  <sheetFormatPr defaultRowHeight="12.75" x14ac:dyDescent="0.2"/>
  <cols>
    <col min="6" max="6" width="12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383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4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0" x14ac:dyDescent="0.2">
      <c r="A6" s="9">
        <v>1</v>
      </c>
      <c r="B6" s="128">
        <v>3532003</v>
      </c>
      <c r="C6" s="128"/>
      <c r="D6" s="128">
        <v>3531996</v>
      </c>
      <c r="E6" s="128"/>
      <c r="F6" s="12">
        <v>32643</v>
      </c>
      <c r="G6" s="169" t="s">
        <v>384</v>
      </c>
      <c r="H6" s="169"/>
      <c r="I6" s="39">
        <v>69550.33</v>
      </c>
      <c r="J6" s="40">
        <f>I6*0.8</f>
        <v>55640.264000000003</v>
      </c>
    </row>
    <row r="7" spans="1:10" x14ac:dyDescent="0.2">
      <c r="A7" s="9">
        <v>2</v>
      </c>
      <c r="B7" s="128">
        <v>3533824</v>
      </c>
      <c r="C7" s="128"/>
      <c r="D7" s="128">
        <v>3534103</v>
      </c>
      <c r="E7" s="128"/>
      <c r="F7" s="12">
        <v>32962</v>
      </c>
      <c r="G7" s="169" t="s">
        <v>385</v>
      </c>
      <c r="H7" s="169"/>
      <c r="I7" s="39">
        <v>44389</v>
      </c>
      <c r="J7" s="40">
        <f t="shared" ref="J7:J24" si="0">I7*0.8</f>
        <v>35511.200000000004</v>
      </c>
    </row>
    <row r="8" spans="1:10" x14ac:dyDescent="0.2">
      <c r="A8" s="9">
        <v>3</v>
      </c>
      <c r="B8" s="128">
        <v>3531538</v>
      </c>
      <c r="C8" s="128"/>
      <c r="D8" s="128">
        <v>3531503</v>
      </c>
      <c r="E8" s="128"/>
      <c r="F8" s="12">
        <v>32962</v>
      </c>
      <c r="G8" s="169" t="s">
        <v>386</v>
      </c>
      <c r="H8" s="169"/>
      <c r="I8" s="39">
        <v>46749</v>
      </c>
      <c r="J8" s="40">
        <f t="shared" si="0"/>
        <v>37399.200000000004</v>
      </c>
    </row>
    <row r="9" spans="1:10" x14ac:dyDescent="0.2">
      <c r="A9" s="9">
        <v>4</v>
      </c>
      <c r="B9" s="128">
        <v>3531325</v>
      </c>
      <c r="C9" s="128"/>
      <c r="D9" s="128">
        <v>3530930</v>
      </c>
      <c r="E9" s="128"/>
      <c r="F9" s="12">
        <v>32983</v>
      </c>
      <c r="G9" s="169" t="s">
        <v>387</v>
      </c>
      <c r="H9" s="169"/>
      <c r="I9" s="39">
        <v>48796</v>
      </c>
      <c r="J9" s="40">
        <f t="shared" si="0"/>
        <v>39036.800000000003</v>
      </c>
    </row>
    <row r="10" spans="1:10" x14ac:dyDescent="0.2">
      <c r="A10" s="9">
        <v>5</v>
      </c>
      <c r="B10" s="128">
        <v>3531317</v>
      </c>
      <c r="C10" s="128"/>
      <c r="D10" s="128">
        <v>3531759</v>
      </c>
      <c r="E10" s="128"/>
      <c r="F10" s="12">
        <v>32983</v>
      </c>
      <c r="G10" s="169" t="s">
        <v>388</v>
      </c>
      <c r="H10" s="169"/>
      <c r="I10" s="39">
        <v>34035</v>
      </c>
      <c r="J10" s="40">
        <f t="shared" si="0"/>
        <v>27228</v>
      </c>
    </row>
    <row r="11" spans="1:10" x14ac:dyDescent="0.2">
      <c r="A11" s="9">
        <v>6</v>
      </c>
      <c r="B11" s="128">
        <v>3530779</v>
      </c>
      <c r="C11" s="128"/>
      <c r="D11" s="128">
        <v>3530795</v>
      </c>
      <c r="E11" s="128"/>
      <c r="F11" s="12">
        <v>33742</v>
      </c>
      <c r="G11" s="169" t="s">
        <v>389</v>
      </c>
      <c r="H11" s="169"/>
      <c r="I11" s="39">
        <v>45796.35</v>
      </c>
      <c r="J11" s="40">
        <f t="shared" si="0"/>
        <v>36637.08</v>
      </c>
    </row>
    <row r="12" spans="1:10" x14ac:dyDescent="0.2">
      <c r="A12" s="9">
        <v>7</v>
      </c>
      <c r="B12" s="128">
        <v>3530787</v>
      </c>
      <c r="C12" s="128"/>
      <c r="D12" s="128">
        <v>3530779</v>
      </c>
      <c r="E12" s="128"/>
      <c r="F12" s="12">
        <v>34092</v>
      </c>
      <c r="G12" s="169" t="s">
        <v>390</v>
      </c>
      <c r="H12" s="169"/>
      <c r="I12" s="39">
        <v>48748.9</v>
      </c>
      <c r="J12" s="40">
        <f t="shared" si="0"/>
        <v>38999.120000000003</v>
      </c>
    </row>
    <row r="13" spans="1:10" x14ac:dyDescent="0.2">
      <c r="A13" s="9">
        <v>8</v>
      </c>
      <c r="B13" s="128">
        <v>3531279</v>
      </c>
      <c r="C13" s="128"/>
      <c r="D13" s="128">
        <v>3530965</v>
      </c>
      <c r="E13" s="128"/>
      <c r="F13" s="12">
        <v>33742</v>
      </c>
      <c r="G13" s="169" t="s">
        <v>391</v>
      </c>
      <c r="H13" s="169"/>
      <c r="I13" s="39">
        <v>60212.25</v>
      </c>
      <c r="J13" s="40">
        <f t="shared" si="0"/>
        <v>48169.8</v>
      </c>
    </row>
    <row r="14" spans="1:10" x14ac:dyDescent="0.2">
      <c r="A14" s="9">
        <v>9</v>
      </c>
      <c r="B14" s="128">
        <v>3531295</v>
      </c>
      <c r="C14" s="128"/>
      <c r="D14" s="128">
        <v>3531627</v>
      </c>
      <c r="E14" s="128"/>
      <c r="F14" s="12">
        <v>34092</v>
      </c>
      <c r="G14" s="169" t="s">
        <v>392</v>
      </c>
      <c r="H14" s="169"/>
      <c r="I14" s="39">
        <v>36147.5</v>
      </c>
      <c r="J14" s="40">
        <f t="shared" si="0"/>
        <v>28918</v>
      </c>
    </row>
    <row r="15" spans="1:10" x14ac:dyDescent="0.2">
      <c r="A15" s="9">
        <v>10</v>
      </c>
      <c r="B15" s="128">
        <v>3533018</v>
      </c>
      <c r="C15" s="128"/>
      <c r="D15" s="128">
        <v>3532925</v>
      </c>
      <c r="E15" s="128"/>
      <c r="F15" s="12">
        <v>33742</v>
      </c>
      <c r="G15" s="169" t="s">
        <v>393</v>
      </c>
      <c r="H15" s="169"/>
      <c r="I15" s="39">
        <v>73931.3</v>
      </c>
      <c r="J15" s="40">
        <f t="shared" si="0"/>
        <v>59145.040000000008</v>
      </c>
    </row>
    <row r="16" spans="1:10" x14ac:dyDescent="0.2">
      <c r="A16" s="9">
        <v>11</v>
      </c>
      <c r="B16" s="128">
        <v>3533107</v>
      </c>
      <c r="C16" s="128"/>
      <c r="D16" s="128">
        <v>3534677</v>
      </c>
      <c r="E16" s="128"/>
      <c r="F16" s="12">
        <v>35081</v>
      </c>
      <c r="G16" s="169" t="s">
        <v>394</v>
      </c>
      <c r="H16" s="169"/>
      <c r="I16" s="39">
        <v>92867.5</v>
      </c>
      <c r="J16" s="40">
        <f t="shared" si="0"/>
        <v>74294</v>
      </c>
    </row>
    <row r="17" spans="1:11" x14ac:dyDescent="0.2">
      <c r="A17" s="9">
        <v>12</v>
      </c>
      <c r="B17" s="128">
        <v>3533344</v>
      </c>
      <c r="C17" s="128"/>
      <c r="D17" s="128">
        <v>3534502</v>
      </c>
      <c r="E17" s="128"/>
      <c r="F17" s="12">
        <v>35081</v>
      </c>
      <c r="G17" s="169" t="s">
        <v>395</v>
      </c>
      <c r="H17" s="169"/>
      <c r="I17" s="39">
        <v>96817</v>
      </c>
      <c r="J17" s="40">
        <f t="shared" si="0"/>
        <v>77453.600000000006</v>
      </c>
    </row>
    <row r="18" spans="1:11" x14ac:dyDescent="0.2">
      <c r="A18" s="9">
        <v>13</v>
      </c>
      <c r="B18" s="128">
        <v>3531732</v>
      </c>
      <c r="C18" s="128"/>
      <c r="D18" s="128">
        <v>3534782</v>
      </c>
      <c r="E18" s="128"/>
      <c r="F18" s="12">
        <v>35802</v>
      </c>
      <c r="G18" s="169" t="s">
        <v>396</v>
      </c>
      <c r="H18" s="169"/>
      <c r="I18" s="39">
        <v>66909</v>
      </c>
      <c r="J18" s="40">
        <f t="shared" si="0"/>
        <v>53527.200000000004</v>
      </c>
    </row>
    <row r="19" spans="1:11" x14ac:dyDescent="0.2">
      <c r="A19" s="9">
        <v>14</v>
      </c>
      <c r="B19" s="128">
        <v>3530310</v>
      </c>
      <c r="C19" s="128"/>
      <c r="D19" s="128">
        <v>3534952</v>
      </c>
      <c r="E19" s="128"/>
      <c r="F19" s="12">
        <v>35388</v>
      </c>
      <c r="G19" s="169" t="s">
        <v>397</v>
      </c>
      <c r="H19" s="169"/>
      <c r="I19" s="39">
        <v>47616</v>
      </c>
      <c r="J19" s="40">
        <f t="shared" si="0"/>
        <v>38092.800000000003</v>
      </c>
    </row>
    <row r="20" spans="1:11" x14ac:dyDescent="0.2">
      <c r="A20" s="9">
        <v>15</v>
      </c>
      <c r="B20" s="128">
        <v>3531384</v>
      </c>
      <c r="C20" s="128"/>
      <c r="D20" s="128">
        <v>3531384</v>
      </c>
      <c r="E20" s="128"/>
      <c r="F20" s="12">
        <v>34779</v>
      </c>
      <c r="G20" s="169" t="s">
        <v>398</v>
      </c>
      <c r="H20" s="169"/>
      <c r="I20" s="45">
        <v>53026.3</v>
      </c>
      <c r="J20" s="40">
        <f t="shared" si="0"/>
        <v>42421.040000000008</v>
      </c>
      <c r="K20" s="107"/>
    </row>
    <row r="21" spans="1:11" x14ac:dyDescent="0.2">
      <c r="A21" s="9">
        <v>16</v>
      </c>
      <c r="B21" s="128">
        <v>3533697</v>
      </c>
      <c r="C21" s="128"/>
      <c r="D21" s="128">
        <v>3536556</v>
      </c>
      <c r="E21" s="128"/>
      <c r="F21" s="12">
        <v>39846</v>
      </c>
      <c r="G21" s="169"/>
      <c r="H21" s="169"/>
      <c r="I21" s="39">
        <v>146565</v>
      </c>
      <c r="J21" s="40">
        <f t="shared" si="0"/>
        <v>117252</v>
      </c>
    </row>
    <row r="22" spans="1:11" x14ac:dyDescent="0.2">
      <c r="A22" s="9">
        <v>17</v>
      </c>
      <c r="B22" s="128">
        <v>3531929</v>
      </c>
      <c r="C22" s="128"/>
      <c r="D22" s="128">
        <v>3536726</v>
      </c>
      <c r="E22" s="128"/>
      <c r="F22" s="12">
        <v>40218</v>
      </c>
      <c r="G22" s="169"/>
      <c r="H22" s="169"/>
      <c r="I22" s="39">
        <v>110672.24</v>
      </c>
      <c r="J22" s="40">
        <f t="shared" si="0"/>
        <v>88537.792000000016</v>
      </c>
    </row>
    <row r="23" spans="1:11" x14ac:dyDescent="0.2">
      <c r="A23" s="9">
        <v>18</v>
      </c>
      <c r="B23" s="128">
        <v>3533646</v>
      </c>
      <c r="C23" s="128"/>
      <c r="D23" s="128">
        <v>3536157</v>
      </c>
      <c r="E23" s="128"/>
      <c r="F23" s="12">
        <v>40218</v>
      </c>
      <c r="G23" s="169"/>
      <c r="H23" s="169"/>
      <c r="I23" s="39">
        <v>115510.41</v>
      </c>
      <c r="J23" s="40">
        <f t="shared" si="0"/>
        <v>92408.328000000009</v>
      </c>
    </row>
    <row r="24" spans="1:11" x14ac:dyDescent="0.2">
      <c r="A24" s="9">
        <v>19</v>
      </c>
      <c r="B24" s="128">
        <v>3532380</v>
      </c>
      <c r="C24" s="128"/>
      <c r="D24" s="128">
        <v>3534731</v>
      </c>
      <c r="E24" s="128"/>
      <c r="F24" s="12">
        <v>40862</v>
      </c>
      <c r="G24" s="169"/>
      <c r="H24" s="169"/>
      <c r="I24" s="39">
        <v>145556</v>
      </c>
      <c r="J24" s="40">
        <f t="shared" si="0"/>
        <v>116444.8</v>
      </c>
    </row>
    <row r="25" spans="1:11" x14ac:dyDescent="0.2">
      <c r="A25" s="9"/>
      <c r="B25" s="128"/>
      <c r="C25" s="128"/>
      <c r="D25" s="128"/>
      <c r="E25" s="128"/>
      <c r="F25" s="12"/>
      <c r="G25" s="169"/>
      <c r="H25" s="169"/>
      <c r="I25" s="39"/>
      <c r="J25" s="40"/>
    </row>
    <row r="26" spans="1:11" ht="13.5" thickBot="1" x14ac:dyDescent="0.25">
      <c r="A26" s="9"/>
      <c r="B26" s="128"/>
      <c r="C26" s="128"/>
      <c r="D26" s="128"/>
      <c r="E26" s="128"/>
      <c r="F26" s="12"/>
      <c r="G26" s="169"/>
      <c r="H26" s="169"/>
      <c r="I26" s="41"/>
      <c r="J26" s="42"/>
    </row>
    <row r="27" spans="1:11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43">
        <f>SUM(I6:I26)</f>
        <v>1383895.08</v>
      </c>
      <c r="J27" s="43">
        <f>SUM(J6:J26)</f>
        <v>1107116.064</v>
      </c>
    </row>
    <row r="28" spans="1:1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1" ht="15" x14ac:dyDescent="0.25">
      <c r="A29" s="131" t="s">
        <v>34</v>
      </c>
      <c r="B29" s="132"/>
      <c r="C29" s="132"/>
      <c r="D29" s="132"/>
      <c r="E29" s="132"/>
      <c r="F29" s="132"/>
      <c r="G29" s="132"/>
      <c r="H29" s="132"/>
      <c r="I29" s="132"/>
      <c r="J29" s="133"/>
    </row>
    <row r="30" spans="1:11" x14ac:dyDescent="0.2">
      <c r="A30" s="169" t="s">
        <v>23</v>
      </c>
      <c r="B30" s="169" t="s">
        <v>35</v>
      </c>
      <c r="C30" s="169"/>
      <c r="D30" s="169" t="s">
        <v>36</v>
      </c>
      <c r="E30" s="169" t="s">
        <v>37</v>
      </c>
      <c r="F30" s="169"/>
      <c r="G30" s="169" t="s">
        <v>38</v>
      </c>
      <c r="H30" s="169"/>
      <c r="I30" s="169" t="s">
        <v>39</v>
      </c>
      <c r="J30" s="169"/>
    </row>
    <row r="31" spans="1:11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1" x14ac:dyDescent="0.2">
      <c r="A32" s="9">
        <v>1</v>
      </c>
      <c r="B32" s="183" t="s">
        <v>399</v>
      </c>
      <c r="C32" s="128"/>
      <c r="D32" s="9">
        <v>3657</v>
      </c>
      <c r="E32" s="182">
        <v>35096</v>
      </c>
      <c r="F32" s="128"/>
      <c r="G32" s="183" t="s">
        <v>400</v>
      </c>
      <c r="H32" s="128"/>
      <c r="I32" s="136">
        <v>27134</v>
      </c>
      <c r="J32" s="136"/>
    </row>
    <row r="33" spans="1:10" x14ac:dyDescent="0.2">
      <c r="A33" s="9">
        <v>2</v>
      </c>
      <c r="B33" s="183" t="s">
        <v>401</v>
      </c>
      <c r="C33" s="128"/>
      <c r="D33" s="9">
        <v>8328</v>
      </c>
      <c r="E33" s="182">
        <v>35096</v>
      </c>
      <c r="F33" s="128"/>
      <c r="G33" s="128">
        <v>3507001</v>
      </c>
      <c r="H33" s="128"/>
      <c r="I33" s="136">
        <v>37672.199999999997</v>
      </c>
      <c r="J33" s="136"/>
    </row>
    <row r="34" spans="1:10" x14ac:dyDescent="0.2">
      <c r="A34" s="9">
        <v>3</v>
      </c>
      <c r="B34" s="183" t="s">
        <v>402</v>
      </c>
      <c r="C34" s="128"/>
      <c r="D34" s="9">
        <v>14512</v>
      </c>
      <c r="E34" s="182">
        <v>36404</v>
      </c>
      <c r="F34" s="128"/>
      <c r="G34" s="183" t="s">
        <v>403</v>
      </c>
      <c r="H34" s="128"/>
      <c r="I34" s="136">
        <v>69704</v>
      </c>
      <c r="J34" s="136"/>
    </row>
    <row r="35" spans="1:10" x14ac:dyDescent="0.2">
      <c r="A35" s="9">
        <v>4</v>
      </c>
      <c r="B35" s="183" t="s">
        <v>404</v>
      </c>
      <c r="C35" s="128"/>
      <c r="D35" s="9">
        <v>12423</v>
      </c>
      <c r="E35" s="182">
        <v>36373</v>
      </c>
      <c r="F35" s="128"/>
      <c r="G35" s="183" t="s">
        <v>405</v>
      </c>
      <c r="H35" s="128"/>
      <c r="I35" s="136">
        <v>96575</v>
      </c>
      <c r="J35" s="136"/>
    </row>
    <row r="36" spans="1:10" x14ac:dyDescent="0.2">
      <c r="A36" s="19"/>
      <c r="B36" s="137"/>
      <c r="C36" s="137"/>
      <c r="D36" s="19">
        <v>90189</v>
      </c>
      <c r="E36" s="137" t="s">
        <v>939</v>
      </c>
      <c r="F36" s="137"/>
      <c r="G36" s="137"/>
      <c r="H36" s="137"/>
      <c r="I36" s="138">
        <v>3420.4</v>
      </c>
      <c r="J36" s="138"/>
    </row>
    <row r="37" spans="1:10" x14ac:dyDescent="0.2">
      <c r="A37" s="19">
        <v>5</v>
      </c>
      <c r="B37" s="137"/>
      <c r="C37" s="137"/>
      <c r="D37" s="19">
        <v>103520</v>
      </c>
      <c r="E37" s="303">
        <v>44551</v>
      </c>
      <c r="F37" s="228"/>
      <c r="G37" s="137" t="s">
        <v>1072</v>
      </c>
      <c r="H37" s="137"/>
      <c r="I37" s="138">
        <v>105704.55</v>
      </c>
      <c r="J37" s="138"/>
    </row>
    <row r="38" spans="1:10" x14ac:dyDescent="0.2">
      <c r="A38" s="9"/>
      <c r="B38" s="128"/>
      <c r="C38" s="128"/>
      <c r="D38" s="9"/>
      <c r="E38" s="128"/>
      <c r="F38" s="128"/>
      <c r="G38" s="128"/>
      <c r="H38" s="128"/>
      <c r="I38" s="136"/>
      <c r="J38" s="136"/>
    </row>
    <row r="39" spans="1:10" x14ac:dyDescent="0.2">
      <c r="A39" s="9"/>
      <c r="B39" s="128"/>
      <c r="C39" s="128"/>
      <c r="D39" s="9"/>
      <c r="E39" s="128"/>
      <c r="F39" s="128"/>
      <c r="G39" s="128"/>
      <c r="H39" s="128"/>
      <c r="I39" s="136"/>
      <c r="J39" s="136"/>
    </row>
    <row r="40" spans="1:10" ht="13.5" thickBot="1" x14ac:dyDescent="0.25">
      <c r="A40" s="9"/>
      <c r="B40" s="128"/>
      <c r="C40" s="128"/>
      <c r="D40" s="9"/>
      <c r="E40" s="128"/>
      <c r="F40" s="128"/>
      <c r="G40" s="128"/>
      <c r="H40" s="128"/>
      <c r="I40" s="226"/>
      <c r="J40" s="226"/>
    </row>
    <row r="41" spans="1:10" ht="13.5" thickTop="1" x14ac:dyDescent="0.2">
      <c r="A41" s="13"/>
      <c r="B41" s="13"/>
      <c r="C41" s="13"/>
      <c r="D41" s="13"/>
      <c r="E41" s="13"/>
      <c r="F41" s="13"/>
      <c r="G41" s="13"/>
      <c r="H41" s="13" t="s">
        <v>33</v>
      </c>
      <c r="I41" s="140">
        <f>SUM(I32:J40)</f>
        <v>340210.15</v>
      </c>
      <c r="J41" s="140"/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15" t="s">
        <v>46</v>
      </c>
      <c r="B43" s="16"/>
      <c r="C43" s="16"/>
      <c r="D43" s="16"/>
      <c r="E43" s="16"/>
      <c r="F43" s="16"/>
      <c r="G43" s="16"/>
      <c r="H43" s="16"/>
      <c r="I43" s="149" t="s">
        <v>47</v>
      </c>
      <c r="J43" s="150"/>
    </row>
    <row r="44" spans="1:10" x14ac:dyDescent="0.2">
      <c r="A44" s="144" t="s">
        <v>48</v>
      </c>
      <c r="B44" s="144"/>
      <c r="C44" s="144"/>
      <c r="D44" s="144"/>
      <c r="E44" s="144"/>
      <c r="F44" s="144"/>
      <c r="G44" s="144"/>
      <c r="H44" s="144"/>
      <c r="I44" s="148">
        <f>I27*80%</f>
        <v>1107116.064</v>
      </c>
      <c r="J44" s="148"/>
    </row>
    <row r="45" spans="1:10" x14ac:dyDescent="0.2">
      <c r="A45" s="144" t="s">
        <v>49</v>
      </c>
      <c r="B45" s="144"/>
      <c r="C45" s="144"/>
      <c r="D45" s="144"/>
      <c r="E45" s="144"/>
      <c r="F45" s="144"/>
      <c r="G45" s="144"/>
      <c r="H45" s="144"/>
      <c r="I45" s="184">
        <f>-37-374791</f>
        <v>-374828</v>
      </c>
      <c r="J45" s="184"/>
    </row>
    <row r="46" spans="1:10" x14ac:dyDescent="0.2">
      <c r="A46" s="185" t="s">
        <v>848</v>
      </c>
      <c r="B46" s="142"/>
      <c r="C46" s="142"/>
      <c r="D46" s="142"/>
      <c r="E46" s="142"/>
      <c r="F46" s="142"/>
      <c r="G46" s="142"/>
      <c r="H46" s="143"/>
      <c r="I46" s="146">
        <v>374828</v>
      </c>
      <c r="J46" s="147"/>
    </row>
    <row r="47" spans="1:10" x14ac:dyDescent="0.2">
      <c r="A47" s="185" t="s">
        <v>1099</v>
      </c>
      <c r="B47" s="142"/>
      <c r="C47" s="142"/>
      <c r="D47" s="142"/>
      <c r="E47" s="142"/>
      <c r="F47" s="142"/>
      <c r="G47" s="142"/>
      <c r="H47" s="143"/>
      <c r="I47" s="146">
        <v>-50000</v>
      </c>
      <c r="J47" s="147"/>
    </row>
    <row r="48" spans="1:10" x14ac:dyDescent="0.2">
      <c r="A48" s="185" t="s">
        <v>1618</v>
      </c>
      <c r="B48" s="142"/>
      <c r="C48" s="142"/>
      <c r="D48" s="142"/>
      <c r="E48" s="142"/>
      <c r="F48" s="142"/>
      <c r="G48" s="142"/>
      <c r="H48" s="143"/>
      <c r="I48" s="146">
        <v>50000</v>
      </c>
      <c r="J48" s="147"/>
    </row>
    <row r="49" spans="1:10" ht="13.5" thickBot="1" x14ac:dyDescent="0.25">
      <c r="A49" s="144" t="s">
        <v>50</v>
      </c>
      <c r="B49" s="144"/>
      <c r="C49" s="144"/>
      <c r="D49" s="144"/>
      <c r="E49" s="144"/>
      <c r="F49" s="144"/>
      <c r="G49" s="144"/>
      <c r="H49" s="144"/>
      <c r="I49" s="145">
        <f>I41</f>
        <v>340210.15</v>
      </c>
      <c r="J49" s="145"/>
    </row>
    <row r="50" spans="1:10" ht="13.5" thickTop="1" x14ac:dyDescent="0.2">
      <c r="H50" s="18" t="s">
        <v>33</v>
      </c>
      <c r="I50" s="129">
        <f>I44+I45+I46+I47+I48-I49</f>
        <v>766905.91399999999</v>
      </c>
      <c r="J50" s="130"/>
    </row>
    <row r="52" spans="1:10" ht="15" x14ac:dyDescent="0.25">
      <c r="A52" s="131" t="s">
        <v>51</v>
      </c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x14ac:dyDescent="0.2">
      <c r="A53" s="139" t="s">
        <v>406</v>
      </c>
      <c r="B53" s="139"/>
      <c r="C53" s="139"/>
      <c r="D53" s="139"/>
      <c r="E53" s="139"/>
      <c r="F53" s="139"/>
      <c r="G53" s="139"/>
      <c r="H53" s="139"/>
      <c r="I53" s="139"/>
      <c r="J53" s="139"/>
    </row>
    <row r="54" spans="1:10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</row>
    <row r="55" spans="1:10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</row>
    <row r="56" spans="1:10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</row>
    <row r="57" spans="1:10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</row>
  </sheetData>
  <mergeCells count="132">
    <mergeCell ref="B38:C38"/>
    <mergeCell ref="E38:F38"/>
    <mergeCell ref="G38:H38"/>
    <mergeCell ref="I38:J38"/>
    <mergeCell ref="B39:C39"/>
    <mergeCell ref="E39:F39"/>
    <mergeCell ref="G39:H39"/>
    <mergeCell ref="I39:J39"/>
    <mergeCell ref="B36:C36"/>
    <mergeCell ref="E36:F36"/>
    <mergeCell ref="G36:H36"/>
    <mergeCell ref="I36:J36"/>
    <mergeCell ref="B37:C37"/>
    <mergeCell ref="G37:H37"/>
    <mergeCell ref="I37:J37"/>
    <mergeCell ref="E37:F37"/>
    <mergeCell ref="I50:J50"/>
    <mergeCell ref="A52:J52"/>
    <mergeCell ref="A53:J58"/>
    <mergeCell ref="A45:H45"/>
    <mergeCell ref="I45:J45"/>
    <mergeCell ref="A49:H49"/>
    <mergeCell ref="I49:J49"/>
    <mergeCell ref="A46:H46"/>
    <mergeCell ref="B40:C40"/>
    <mergeCell ref="E40:F40"/>
    <mergeCell ref="G40:H40"/>
    <mergeCell ref="I40:J40"/>
    <mergeCell ref="I41:J41"/>
    <mergeCell ref="I43:J43"/>
    <mergeCell ref="A47:H47"/>
    <mergeCell ref="I47:J47"/>
    <mergeCell ref="I46:J46"/>
    <mergeCell ref="A44:H44"/>
    <mergeCell ref="I44:J44"/>
    <mergeCell ref="A48:H48"/>
    <mergeCell ref="I48:J48"/>
    <mergeCell ref="I34:J34"/>
    <mergeCell ref="B35:C35"/>
    <mergeCell ref="E35:F35"/>
    <mergeCell ref="G35:H35"/>
    <mergeCell ref="I35:J35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A29:J29"/>
    <mergeCell ref="A30:A31"/>
    <mergeCell ref="B30:C31"/>
    <mergeCell ref="D30:D31"/>
    <mergeCell ref="E30:F31"/>
    <mergeCell ref="G30:H31"/>
    <mergeCell ref="I30:J31"/>
    <mergeCell ref="B18:C18"/>
    <mergeCell ref="D18:E18"/>
    <mergeCell ref="G18:H18"/>
    <mergeCell ref="B19:C19"/>
    <mergeCell ref="B26:C26"/>
    <mergeCell ref="D26:E26"/>
    <mergeCell ref="G26:H26"/>
    <mergeCell ref="B21:C21"/>
    <mergeCell ref="D21:E21"/>
    <mergeCell ref="G21:H21"/>
    <mergeCell ref="B24:C24"/>
    <mergeCell ref="D24:E24"/>
    <mergeCell ref="G24:H24"/>
    <mergeCell ref="D19:E19"/>
    <mergeCell ref="G19:H19"/>
    <mergeCell ref="B20:C20"/>
    <mergeCell ref="D20:E20"/>
    <mergeCell ref="G20:H20"/>
    <mergeCell ref="B25:C25"/>
    <mergeCell ref="D25:E25"/>
    <mergeCell ref="G25:H25"/>
    <mergeCell ref="B22:C22"/>
    <mergeCell ref="D22:E22"/>
    <mergeCell ref="G22:H22"/>
    <mergeCell ref="B16:C16"/>
    <mergeCell ref="D16:E16"/>
    <mergeCell ref="G16:H16"/>
    <mergeCell ref="B17:C17"/>
    <mergeCell ref="D17:E17"/>
    <mergeCell ref="G17:H17"/>
    <mergeCell ref="B23:C23"/>
    <mergeCell ref="D23:E23"/>
    <mergeCell ref="G23:H23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6"/>
  <dimension ref="A1:K47"/>
  <sheetViews>
    <sheetView topLeftCell="A10" workbookViewId="0">
      <selection activeCell="I30" sqref="I30:J30"/>
    </sheetView>
  </sheetViews>
  <sheetFormatPr defaultRowHeight="12.75" x14ac:dyDescent="0.2"/>
  <cols>
    <col min="6" max="6" width="12.5703125" customWidth="1"/>
    <col min="9" max="9" width="11.7109375" bestFit="1" customWidth="1"/>
    <col min="10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407</v>
      </c>
      <c r="B2" s="6"/>
      <c r="C2" s="6"/>
      <c r="D2" s="6"/>
      <c r="E2" s="6"/>
      <c r="F2" s="6"/>
      <c r="G2" s="6"/>
      <c r="H2" s="6"/>
      <c r="I2" s="6"/>
      <c r="J2" s="7" t="s">
        <v>164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1" x14ac:dyDescent="0.2">
      <c r="A6" s="9">
        <v>1</v>
      </c>
      <c r="B6" s="128">
        <v>3631702</v>
      </c>
      <c r="C6" s="128"/>
      <c r="D6" s="128">
        <v>3632083</v>
      </c>
      <c r="E6" s="128"/>
      <c r="F6" s="12">
        <v>33721</v>
      </c>
      <c r="G6" s="169" t="s">
        <v>408</v>
      </c>
      <c r="H6" s="169"/>
      <c r="I6" s="32">
        <v>229730.67</v>
      </c>
      <c r="J6" s="32">
        <f>I6*0.8</f>
        <v>183784.53600000002</v>
      </c>
    </row>
    <row r="7" spans="1:11" x14ac:dyDescent="0.2">
      <c r="A7" s="9">
        <v>2</v>
      </c>
      <c r="B7" s="128">
        <v>3630730</v>
      </c>
      <c r="C7" s="128"/>
      <c r="D7" s="128">
        <v>3631230</v>
      </c>
      <c r="E7" s="128"/>
      <c r="F7" s="12">
        <v>35061</v>
      </c>
      <c r="G7" s="169" t="s">
        <v>409</v>
      </c>
      <c r="H7" s="169"/>
      <c r="I7" s="32">
        <v>246191.93</v>
      </c>
      <c r="J7" s="32">
        <f>I7*0.8</f>
        <v>196953.54399999999</v>
      </c>
    </row>
    <row r="8" spans="1:11" x14ac:dyDescent="0.2">
      <c r="A8" s="9">
        <v>3</v>
      </c>
      <c r="B8" s="128">
        <v>3633527</v>
      </c>
      <c r="C8" s="128"/>
      <c r="D8" s="128">
        <v>3633470</v>
      </c>
      <c r="E8" s="128"/>
      <c r="F8" s="12">
        <v>35226</v>
      </c>
      <c r="G8" s="169" t="s">
        <v>410</v>
      </c>
      <c r="H8" s="169"/>
      <c r="I8" s="32">
        <v>88231.34</v>
      </c>
      <c r="J8" s="32">
        <f>I8*0.8</f>
        <v>70585.072</v>
      </c>
      <c r="K8" s="107"/>
    </row>
    <row r="9" spans="1:11" x14ac:dyDescent="0.2">
      <c r="A9" s="9">
        <v>4</v>
      </c>
      <c r="B9" s="128">
        <v>3633721</v>
      </c>
      <c r="C9" s="128"/>
      <c r="D9" s="128">
        <v>3633722</v>
      </c>
      <c r="E9" s="128"/>
      <c r="F9" s="12">
        <v>43698</v>
      </c>
      <c r="G9" s="169"/>
      <c r="H9" s="169"/>
      <c r="I9" s="32">
        <v>105631.69</v>
      </c>
      <c r="J9" s="32">
        <f>I9*0.8</f>
        <v>84505.352000000014</v>
      </c>
    </row>
    <row r="10" spans="1:11" x14ac:dyDescent="0.2">
      <c r="A10" s="9">
        <v>5</v>
      </c>
      <c r="B10" s="128">
        <v>3632644</v>
      </c>
      <c r="C10" s="128"/>
      <c r="D10" s="128">
        <v>3632646</v>
      </c>
      <c r="E10" s="128"/>
      <c r="F10" s="12">
        <v>43836</v>
      </c>
      <c r="G10" s="169"/>
      <c r="H10" s="169"/>
      <c r="I10" s="32">
        <v>271039.01</v>
      </c>
      <c r="J10" s="32">
        <f>I10*0.8</f>
        <v>216831.20800000001</v>
      </c>
    </row>
    <row r="11" spans="1:11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1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1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940824.6399999999</v>
      </c>
      <c r="J14" s="33">
        <f>I14*0.8</f>
        <v>752659.71199999994</v>
      </c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 t="s">
        <v>411</v>
      </c>
      <c r="C19" s="128"/>
      <c r="D19" s="10">
        <v>7237</v>
      </c>
      <c r="E19" s="182">
        <v>35034</v>
      </c>
      <c r="F19" s="128"/>
      <c r="G19" s="128">
        <v>3611001</v>
      </c>
      <c r="H19" s="128"/>
      <c r="I19" s="136">
        <v>52609</v>
      </c>
      <c r="J19" s="136"/>
    </row>
    <row r="20" spans="1:10" x14ac:dyDescent="0.2">
      <c r="A20" s="9">
        <v>2</v>
      </c>
      <c r="B20" s="183" t="s">
        <v>412</v>
      </c>
      <c r="C20" s="128"/>
      <c r="D20" s="10">
        <v>4937</v>
      </c>
      <c r="E20" s="182">
        <v>35186</v>
      </c>
      <c r="F20" s="128"/>
      <c r="G20" s="128">
        <v>3608001</v>
      </c>
      <c r="H20" s="128"/>
      <c r="I20" s="136">
        <v>82954</v>
      </c>
      <c r="J20" s="136"/>
    </row>
    <row r="21" spans="1:10" x14ac:dyDescent="0.2">
      <c r="A21" s="9">
        <v>3</v>
      </c>
      <c r="B21" s="183" t="s">
        <v>413</v>
      </c>
      <c r="C21" s="128"/>
      <c r="D21" s="10">
        <v>7236</v>
      </c>
      <c r="E21" s="182">
        <v>35125</v>
      </c>
      <c r="F21" s="128"/>
      <c r="G21" s="128">
        <v>3610001</v>
      </c>
      <c r="H21" s="128"/>
      <c r="I21" s="136">
        <v>50581</v>
      </c>
      <c r="J21" s="136"/>
    </row>
    <row r="22" spans="1:10" x14ac:dyDescent="0.2">
      <c r="A22" s="9">
        <v>4</v>
      </c>
      <c r="B22" s="183" t="s">
        <v>414</v>
      </c>
      <c r="C22" s="128"/>
      <c r="D22" s="9">
        <v>11114</v>
      </c>
      <c r="E22" s="182">
        <v>35612</v>
      </c>
      <c r="F22" s="128"/>
      <c r="G22" s="183" t="s">
        <v>415</v>
      </c>
      <c r="H22" s="128"/>
      <c r="I22" s="136">
        <v>61578</v>
      </c>
      <c r="J22" s="136"/>
    </row>
    <row r="23" spans="1:10" x14ac:dyDescent="0.2">
      <c r="A23" s="9">
        <v>5</v>
      </c>
      <c r="B23" s="183" t="s">
        <v>416</v>
      </c>
      <c r="C23" s="128"/>
      <c r="D23" s="10">
        <v>7235</v>
      </c>
      <c r="E23" s="182">
        <v>35765</v>
      </c>
      <c r="F23" s="128"/>
      <c r="G23" s="128">
        <v>3609001</v>
      </c>
      <c r="H23" s="128"/>
      <c r="I23" s="136">
        <v>63877</v>
      </c>
      <c r="J23" s="136"/>
    </row>
    <row r="24" spans="1:10" x14ac:dyDescent="0.2">
      <c r="A24" s="9">
        <v>6</v>
      </c>
      <c r="B24" s="183" t="s">
        <v>417</v>
      </c>
      <c r="C24" s="128"/>
      <c r="D24" s="10">
        <v>9587</v>
      </c>
      <c r="E24" s="182">
        <v>36434</v>
      </c>
      <c r="F24" s="128"/>
      <c r="G24" s="128">
        <v>3612001</v>
      </c>
      <c r="H24" s="128"/>
      <c r="I24" s="136">
        <v>75485</v>
      </c>
      <c r="J24" s="136"/>
    </row>
    <row r="25" spans="1:10" x14ac:dyDescent="0.2">
      <c r="A25" s="9">
        <v>7</v>
      </c>
      <c r="B25" s="183" t="s">
        <v>418</v>
      </c>
      <c r="C25" s="128"/>
      <c r="D25" s="9">
        <v>11088</v>
      </c>
      <c r="E25" s="182">
        <v>36342</v>
      </c>
      <c r="F25" s="128"/>
      <c r="G25" s="183" t="s">
        <v>419</v>
      </c>
      <c r="H25" s="128"/>
      <c r="I25" s="136">
        <f>84790-2698.85</f>
        <v>82091.149999999994</v>
      </c>
      <c r="J25" s="136"/>
    </row>
    <row r="26" spans="1:10" x14ac:dyDescent="0.2">
      <c r="A26" s="9">
        <v>8</v>
      </c>
      <c r="B26" s="183" t="s">
        <v>420</v>
      </c>
      <c r="C26" s="128"/>
      <c r="D26" s="10">
        <v>4952</v>
      </c>
      <c r="E26" s="182">
        <v>36465</v>
      </c>
      <c r="F26" s="128"/>
      <c r="G26" s="183" t="s">
        <v>421</v>
      </c>
      <c r="H26" s="128"/>
      <c r="I26" s="136">
        <v>0</v>
      </c>
      <c r="J26" s="136"/>
    </row>
    <row r="27" spans="1:10" x14ac:dyDescent="0.2">
      <c r="A27" s="9">
        <v>9</v>
      </c>
      <c r="B27" s="183" t="s">
        <v>422</v>
      </c>
      <c r="C27" s="128"/>
      <c r="D27" s="9">
        <v>11112</v>
      </c>
      <c r="E27" s="182">
        <v>36373</v>
      </c>
      <c r="F27" s="128"/>
      <c r="G27" s="183" t="s">
        <v>423</v>
      </c>
      <c r="H27" s="128"/>
      <c r="I27" s="304">
        <v>0</v>
      </c>
      <c r="J27" s="304"/>
    </row>
    <row r="28" spans="1:10" x14ac:dyDescent="0.2">
      <c r="A28" s="9">
        <v>10</v>
      </c>
      <c r="B28" s="183">
        <v>495088</v>
      </c>
      <c r="C28" s="128"/>
      <c r="D28" s="9">
        <v>77620</v>
      </c>
      <c r="E28" s="182">
        <v>40371</v>
      </c>
      <c r="F28" s="128"/>
      <c r="G28" s="128" t="s">
        <v>424</v>
      </c>
      <c r="H28" s="192"/>
      <c r="I28" s="194">
        <v>47103</v>
      </c>
      <c r="J28" s="195"/>
    </row>
    <row r="29" spans="1:10" x14ac:dyDescent="0.2">
      <c r="A29" s="19"/>
      <c r="B29" s="160"/>
      <c r="C29" s="161"/>
      <c r="D29" s="19">
        <v>87270</v>
      </c>
      <c r="E29" s="162" t="s">
        <v>864</v>
      </c>
      <c r="F29" s="163"/>
      <c r="G29" s="160"/>
      <c r="H29" s="161"/>
      <c r="I29" s="305">
        <v>3561.6</v>
      </c>
      <c r="J29" s="306"/>
    </row>
    <row r="30" spans="1:10" x14ac:dyDescent="0.2">
      <c r="A30" s="58">
        <v>11</v>
      </c>
      <c r="B30" s="312"/>
      <c r="C30" s="313"/>
      <c r="D30" s="58">
        <v>106535</v>
      </c>
      <c r="E30" s="314"/>
      <c r="F30" s="315"/>
      <c r="G30" s="312" t="s">
        <v>1355</v>
      </c>
      <c r="H30" s="313"/>
      <c r="I30" s="307"/>
      <c r="J30" s="308"/>
    </row>
    <row r="31" spans="1:10" x14ac:dyDescent="0.2">
      <c r="A31" s="19"/>
      <c r="B31" s="160"/>
      <c r="C31" s="161"/>
      <c r="D31" s="19"/>
      <c r="E31" s="162"/>
      <c r="F31" s="163"/>
      <c r="G31" s="160"/>
      <c r="H31" s="161"/>
      <c r="I31" s="305"/>
      <c r="J31" s="306"/>
    </row>
    <row r="32" spans="1:10" ht="13.5" thickBot="1" x14ac:dyDescent="0.25">
      <c r="A32" s="9"/>
      <c r="B32" s="197"/>
      <c r="C32" s="193"/>
      <c r="D32" s="9"/>
      <c r="E32" s="125"/>
      <c r="F32" s="127"/>
      <c r="G32" s="197"/>
      <c r="H32" s="193"/>
      <c r="I32" s="310"/>
      <c r="J32" s="311"/>
    </row>
    <row r="33" spans="1:10" ht="13.5" thickTop="1" x14ac:dyDescent="0.2">
      <c r="A33" s="13"/>
      <c r="B33" s="13"/>
      <c r="C33" s="13"/>
      <c r="D33" s="13"/>
      <c r="E33" s="13"/>
      <c r="F33" s="13"/>
      <c r="G33" s="13"/>
      <c r="H33" s="13" t="s">
        <v>33</v>
      </c>
      <c r="I33" s="309">
        <f>SUM(I19:J30)</f>
        <v>519839.75</v>
      </c>
      <c r="J33" s="309"/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 x14ac:dyDescent="0.25">
      <c r="A35" s="15" t="s">
        <v>46</v>
      </c>
      <c r="B35" s="16"/>
      <c r="C35" s="16"/>
      <c r="D35" s="16"/>
      <c r="E35" s="16"/>
      <c r="F35" s="16"/>
      <c r="G35" s="16"/>
      <c r="H35" s="16"/>
      <c r="I35" s="149" t="s">
        <v>47</v>
      </c>
      <c r="J35" s="150"/>
    </row>
    <row r="36" spans="1:10" x14ac:dyDescent="0.2">
      <c r="A36" s="144" t="s">
        <v>48</v>
      </c>
      <c r="B36" s="144"/>
      <c r="C36" s="144"/>
      <c r="D36" s="144"/>
      <c r="E36" s="144"/>
      <c r="F36" s="144"/>
      <c r="G36" s="144"/>
      <c r="H36" s="144"/>
      <c r="I36" s="148">
        <f>I14*80%</f>
        <v>752659.71199999994</v>
      </c>
      <c r="J36" s="148"/>
    </row>
    <row r="37" spans="1:10" x14ac:dyDescent="0.2">
      <c r="A37" s="144" t="s">
        <v>425</v>
      </c>
      <c r="B37" s="144"/>
      <c r="C37" s="144"/>
      <c r="D37" s="144"/>
      <c r="E37" s="144"/>
      <c r="F37" s="144"/>
      <c r="G37" s="144"/>
      <c r="H37" s="144"/>
      <c r="I37" s="184">
        <f>17852+86703-35787</f>
        <v>68768</v>
      </c>
      <c r="J37" s="184"/>
    </row>
    <row r="38" spans="1:10" ht="13.5" thickBot="1" x14ac:dyDescent="0.25">
      <c r="A38" s="144" t="s">
        <v>50</v>
      </c>
      <c r="B38" s="144"/>
      <c r="C38" s="144"/>
      <c r="D38" s="144"/>
      <c r="E38" s="144"/>
      <c r="F38" s="144"/>
      <c r="G38" s="144"/>
      <c r="H38" s="144"/>
      <c r="I38" s="145">
        <f>I33</f>
        <v>519839.75</v>
      </c>
      <c r="J38" s="145"/>
    </row>
    <row r="39" spans="1:10" ht="13.5" thickTop="1" x14ac:dyDescent="0.2">
      <c r="H39" s="18" t="s">
        <v>33</v>
      </c>
      <c r="I39" s="129">
        <f>I36+I37-I38</f>
        <v>301587.96199999994</v>
      </c>
      <c r="J39" s="130"/>
    </row>
    <row r="41" spans="1:10" ht="15" x14ac:dyDescent="0.25">
      <c r="A41" s="131" t="s">
        <v>51</v>
      </c>
      <c r="B41" s="132"/>
      <c r="C41" s="132"/>
      <c r="D41" s="132"/>
      <c r="E41" s="132"/>
      <c r="F41" s="132"/>
      <c r="G41" s="132"/>
      <c r="H41" s="132"/>
      <c r="I41" s="132"/>
      <c r="J41" s="133"/>
    </row>
    <row r="42" spans="1:10" x14ac:dyDescent="0.2">
      <c r="A42" s="139" t="s">
        <v>426</v>
      </c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</sheetData>
  <mergeCells count="107">
    <mergeCell ref="I30:J30"/>
    <mergeCell ref="B31:C31"/>
    <mergeCell ref="E31:F31"/>
    <mergeCell ref="G31:H31"/>
    <mergeCell ref="I31:J31"/>
    <mergeCell ref="A42:J47"/>
    <mergeCell ref="A37:H37"/>
    <mergeCell ref="I37:J37"/>
    <mergeCell ref="A38:H38"/>
    <mergeCell ref="I38:J38"/>
    <mergeCell ref="I33:J33"/>
    <mergeCell ref="I35:J35"/>
    <mergeCell ref="A36:H36"/>
    <mergeCell ref="I36:J36"/>
    <mergeCell ref="I39:J39"/>
    <mergeCell ref="A41:J41"/>
    <mergeCell ref="G32:H32"/>
    <mergeCell ref="I32:J32"/>
    <mergeCell ref="B32:C32"/>
    <mergeCell ref="E32:F32"/>
    <mergeCell ref="B30:C30"/>
    <mergeCell ref="E30:F30"/>
    <mergeCell ref="G30:H30"/>
    <mergeCell ref="E27:F27"/>
    <mergeCell ref="G27:H27"/>
    <mergeCell ref="I27:J27"/>
    <mergeCell ref="B28:C28"/>
    <mergeCell ref="E28:F28"/>
    <mergeCell ref="G28:H28"/>
    <mergeCell ref="I28:J28"/>
    <mergeCell ref="G29:H29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I29:J29"/>
    <mergeCell ref="B29:C29"/>
    <mergeCell ref="E29:F29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54"/>
  <sheetViews>
    <sheetView topLeftCell="A13" workbookViewId="0">
      <selection activeCell="K17" sqref="K17"/>
    </sheetView>
  </sheetViews>
  <sheetFormatPr defaultRowHeight="12.75" x14ac:dyDescent="0.2"/>
  <cols>
    <col min="6" max="6" width="16.42578125" bestFit="1" customWidth="1"/>
    <col min="9" max="9" width="13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1010</v>
      </c>
      <c r="B2" s="6"/>
      <c r="C2" s="6"/>
      <c r="D2" s="6"/>
      <c r="E2" s="6"/>
      <c r="F2" s="6"/>
      <c r="G2" s="6"/>
      <c r="H2" s="6"/>
      <c r="I2" s="6"/>
      <c r="J2" s="59" t="s">
        <v>715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290" t="s">
        <v>27</v>
      </c>
      <c r="J4" s="234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233"/>
      <c r="J5" s="176"/>
    </row>
    <row r="6" spans="1:10" x14ac:dyDescent="0.2">
      <c r="A6" s="9">
        <v>1</v>
      </c>
      <c r="B6" s="128">
        <v>3841367</v>
      </c>
      <c r="C6" s="128"/>
      <c r="D6" s="128">
        <v>3841375</v>
      </c>
      <c r="E6" s="128"/>
      <c r="F6" s="12">
        <v>40994</v>
      </c>
      <c r="G6" s="169"/>
      <c r="H6" s="169"/>
      <c r="I6" s="32">
        <v>253309.85</v>
      </c>
      <c r="J6" s="40">
        <f t="shared" ref="J6:J17" si="0">I6*0.8</f>
        <v>202647.88</v>
      </c>
    </row>
    <row r="7" spans="1:10" x14ac:dyDescent="0.2">
      <c r="A7" s="9">
        <v>2</v>
      </c>
      <c r="B7" s="128">
        <v>3846997</v>
      </c>
      <c r="C7" s="128"/>
      <c r="D7" s="128">
        <v>3830000</v>
      </c>
      <c r="E7" s="128"/>
      <c r="F7" s="12">
        <v>42233</v>
      </c>
      <c r="G7" s="169"/>
      <c r="H7" s="169"/>
      <c r="I7" s="32">
        <v>88575.59</v>
      </c>
      <c r="J7" s="40">
        <f t="shared" si="0"/>
        <v>70860.471999999994</v>
      </c>
    </row>
    <row r="8" spans="1:10" x14ac:dyDescent="0.2">
      <c r="A8" s="9">
        <v>3</v>
      </c>
      <c r="B8" s="128">
        <v>3835413</v>
      </c>
      <c r="C8" s="128"/>
      <c r="D8" s="128">
        <v>3835414</v>
      </c>
      <c r="E8" s="128"/>
      <c r="F8" s="12">
        <v>42544</v>
      </c>
      <c r="G8" s="169"/>
      <c r="H8" s="169"/>
      <c r="I8" s="32">
        <v>153202.35</v>
      </c>
      <c r="J8" s="40">
        <f t="shared" si="0"/>
        <v>122561.88</v>
      </c>
    </row>
    <row r="9" spans="1:10" x14ac:dyDescent="0.2">
      <c r="A9" s="9">
        <v>4</v>
      </c>
      <c r="B9" s="128">
        <v>3848043</v>
      </c>
      <c r="C9" s="128"/>
      <c r="D9" s="128">
        <v>3848044</v>
      </c>
      <c r="E9" s="128"/>
      <c r="F9" s="12">
        <v>42681</v>
      </c>
      <c r="G9" s="169"/>
      <c r="H9" s="169"/>
      <c r="I9" s="32">
        <v>88076.54</v>
      </c>
      <c r="J9" s="40">
        <f t="shared" si="0"/>
        <v>70461.232000000004</v>
      </c>
    </row>
    <row r="10" spans="1:10" x14ac:dyDescent="0.2">
      <c r="A10" s="9">
        <v>5</v>
      </c>
      <c r="B10" s="128">
        <v>3841111</v>
      </c>
      <c r="C10" s="128"/>
      <c r="D10" s="128">
        <v>3841112</v>
      </c>
      <c r="E10" s="128"/>
      <c r="F10" s="12">
        <v>42681</v>
      </c>
      <c r="G10" s="169"/>
      <c r="H10" s="169"/>
      <c r="I10" s="32">
        <v>91880.84</v>
      </c>
      <c r="J10" s="40">
        <f t="shared" si="0"/>
        <v>73504.672000000006</v>
      </c>
    </row>
    <row r="11" spans="1:10" x14ac:dyDescent="0.2">
      <c r="A11" s="9">
        <v>6</v>
      </c>
      <c r="B11" s="128">
        <v>3844994</v>
      </c>
      <c r="C11" s="128"/>
      <c r="D11" s="128">
        <v>3844995</v>
      </c>
      <c r="E11" s="128"/>
      <c r="F11" s="12">
        <v>42681</v>
      </c>
      <c r="G11" s="169"/>
      <c r="H11" s="169"/>
      <c r="I11" s="32">
        <v>96321.91</v>
      </c>
      <c r="J11" s="40">
        <f t="shared" si="0"/>
        <v>77057.528000000006</v>
      </c>
    </row>
    <row r="12" spans="1:10" x14ac:dyDescent="0.2">
      <c r="A12" s="9">
        <v>7</v>
      </c>
      <c r="B12" s="128">
        <v>3832031</v>
      </c>
      <c r="C12" s="128"/>
      <c r="D12" s="128">
        <v>3832032</v>
      </c>
      <c r="E12" s="128"/>
      <c r="F12" s="12">
        <v>43249</v>
      </c>
      <c r="G12" s="169"/>
      <c r="H12" s="169"/>
      <c r="I12" s="32">
        <v>92778.6</v>
      </c>
      <c r="J12" s="40">
        <f t="shared" si="0"/>
        <v>74222.880000000005</v>
      </c>
    </row>
    <row r="13" spans="1:10" x14ac:dyDescent="0.2">
      <c r="A13" s="9">
        <v>8</v>
      </c>
      <c r="B13" s="128">
        <v>3834859</v>
      </c>
      <c r="C13" s="128"/>
      <c r="D13" s="128">
        <v>3834860</v>
      </c>
      <c r="E13" s="128"/>
      <c r="F13" s="12">
        <v>43249</v>
      </c>
      <c r="G13" s="169"/>
      <c r="H13" s="169"/>
      <c r="I13" s="32">
        <v>44806.68</v>
      </c>
      <c r="J13" s="40">
        <f t="shared" si="0"/>
        <v>35845.344000000005</v>
      </c>
    </row>
    <row r="14" spans="1:10" x14ac:dyDescent="0.2">
      <c r="A14" s="9">
        <v>9</v>
      </c>
      <c r="B14" s="128">
        <v>3831043</v>
      </c>
      <c r="C14" s="128"/>
      <c r="D14" s="128">
        <v>3831044</v>
      </c>
      <c r="E14" s="128"/>
      <c r="F14" s="12">
        <v>43698</v>
      </c>
      <c r="G14" s="169"/>
      <c r="H14" s="169"/>
      <c r="I14" s="32">
        <v>346018.38</v>
      </c>
      <c r="J14" s="40">
        <f t="shared" si="0"/>
        <v>276814.70400000003</v>
      </c>
    </row>
    <row r="15" spans="1:10" x14ac:dyDescent="0.2">
      <c r="A15" s="9">
        <v>10</v>
      </c>
      <c r="B15" s="128">
        <v>3848167</v>
      </c>
      <c r="C15" s="128"/>
      <c r="D15" s="128">
        <v>3848168</v>
      </c>
      <c r="E15" s="128"/>
      <c r="F15" s="12">
        <v>43705</v>
      </c>
      <c r="G15" s="169"/>
      <c r="H15" s="169"/>
      <c r="I15" s="32">
        <v>280665.43</v>
      </c>
      <c r="J15" s="40">
        <f t="shared" si="0"/>
        <v>224532.34400000001</v>
      </c>
    </row>
    <row r="16" spans="1:10" x14ac:dyDescent="0.2">
      <c r="A16" s="9">
        <v>11</v>
      </c>
      <c r="B16" s="128">
        <v>3839397</v>
      </c>
      <c r="C16" s="128"/>
      <c r="D16" s="128">
        <v>3839398</v>
      </c>
      <c r="E16" s="128"/>
      <c r="F16" s="12">
        <v>44552</v>
      </c>
      <c r="G16" s="169"/>
      <c r="H16" s="169"/>
      <c r="I16" s="32">
        <v>396527.26</v>
      </c>
      <c r="J16" s="40">
        <f t="shared" si="0"/>
        <v>317221.80800000002</v>
      </c>
    </row>
    <row r="17" spans="1:10" x14ac:dyDescent="0.2">
      <c r="A17" s="9">
        <v>12</v>
      </c>
      <c r="B17" s="128">
        <v>3830128</v>
      </c>
      <c r="C17" s="128"/>
      <c r="D17" s="128">
        <v>3830129</v>
      </c>
      <c r="E17" s="128"/>
      <c r="F17" s="12">
        <v>45139</v>
      </c>
      <c r="G17" s="169"/>
      <c r="H17" s="169"/>
      <c r="I17" s="32">
        <v>1120845.54</v>
      </c>
      <c r="J17" s="40">
        <f t="shared" si="0"/>
        <v>896676.43200000003</v>
      </c>
    </row>
    <row r="18" spans="1:10" x14ac:dyDescent="0.2">
      <c r="A18" s="9"/>
      <c r="B18" s="128"/>
      <c r="C18" s="128"/>
      <c r="D18" s="128"/>
      <c r="E18" s="128"/>
      <c r="F18" s="12"/>
      <c r="G18" s="169"/>
      <c r="H18" s="169"/>
      <c r="I18" s="32"/>
      <c r="J18" s="40"/>
    </row>
    <row r="19" spans="1:10" x14ac:dyDescent="0.2">
      <c r="A19" s="9"/>
      <c r="B19" s="128"/>
      <c r="C19" s="128"/>
      <c r="D19" s="128"/>
      <c r="E19" s="128"/>
      <c r="F19" s="12"/>
      <c r="G19" s="169"/>
      <c r="H19" s="169"/>
      <c r="I19" s="32"/>
      <c r="J19" s="40"/>
    </row>
    <row r="20" spans="1:10" x14ac:dyDescent="0.2">
      <c r="A20" s="9"/>
      <c r="B20" s="128"/>
      <c r="C20" s="128"/>
      <c r="D20" s="128"/>
      <c r="E20" s="128"/>
      <c r="F20" s="12"/>
      <c r="G20" s="169"/>
      <c r="H20" s="169"/>
      <c r="I20" s="67"/>
      <c r="J20" s="40"/>
    </row>
    <row r="21" spans="1:10" x14ac:dyDescent="0.2">
      <c r="A21" s="9"/>
      <c r="B21" s="128"/>
      <c r="C21" s="128"/>
      <c r="D21" s="128"/>
      <c r="E21" s="128"/>
      <c r="F21" s="12"/>
      <c r="G21" s="169"/>
      <c r="H21" s="169"/>
      <c r="I21" s="32"/>
      <c r="J21" s="40"/>
    </row>
    <row r="22" spans="1:10" x14ac:dyDescent="0.2">
      <c r="A22" s="9"/>
      <c r="B22" s="128"/>
      <c r="C22" s="128"/>
      <c r="D22" s="128"/>
      <c r="E22" s="128"/>
      <c r="F22" s="12"/>
      <c r="G22" s="169"/>
      <c r="H22" s="169"/>
      <c r="I22" s="32"/>
      <c r="J22" s="40"/>
    </row>
    <row r="23" spans="1:10" x14ac:dyDescent="0.2">
      <c r="A23" s="9"/>
      <c r="B23" s="128"/>
      <c r="C23" s="128"/>
      <c r="D23" s="128"/>
      <c r="E23" s="128"/>
      <c r="F23" s="12"/>
      <c r="G23" s="169"/>
      <c r="H23" s="169"/>
      <c r="I23" s="32"/>
      <c r="J23" s="40"/>
    </row>
    <row r="24" spans="1:10" x14ac:dyDescent="0.2">
      <c r="A24" s="9"/>
      <c r="B24" s="128"/>
      <c r="C24" s="128"/>
      <c r="D24" s="128"/>
      <c r="E24" s="128"/>
      <c r="F24" s="12"/>
      <c r="G24" s="169"/>
      <c r="H24" s="169"/>
      <c r="I24" s="32"/>
      <c r="J24" s="40"/>
    </row>
    <row r="25" spans="1:10" x14ac:dyDescent="0.2">
      <c r="A25" s="9"/>
      <c r="B25" s="128"/>
      <c r="C25" s="128"/>
      <c r="D25" s="128"/>
      <c r="E25" s="128"/>
      <c r="F25" s="12"/>
      <c r="G25" s="169"/>
      <c r="H25" s="169"/>
      <c r="I25" s="32"/>
      <c r="J25" s="40"/>
    </row>
    <row r="26" spans="1:10" ht="13.5" thickBot="1" x14ac:dyDescent="0.25">
      <c r="A26" s="9"/>
      <c r="B26" s="128"/>
      <c r="C26" s="128"/>
      <c r="D26" s="128"/>
      <c r="E26" s="128"/>
      <c r="F26" s="12"/>
      <c r="G26" s="169"/>
      <c r="H26" s="169"/>
      <c r="I26" s="55"/>
      <c r="J26" s="42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43">
        <f>SUM(I6:I26)</f>
        <v>3053008.97</v>
      </c>
      <c r="J27" s="78">
        <f>SUM(J6:J26)</f>
        <v>2442407.176</v>
      </c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31" t="s">
        <v>34</v>
      </c>
      <c r="B29" s="132"/>
      <c r="C29" s="132"/>
      <c r="D29" s="132"/>
      <c r="E29" s="132"/>
      <c r="F29" s="132"/>
      <c r="G29" s="132"/>
      <c r="H29" s="132"/>
      <c r="I29" s="132"/>
      <c r="J29" s="133"/>
    </row>
    <row r="30" spans="1:10" x14ac:dyDescent="0.2">
      <c r="A30" s="169" t="s">
        <v>23</v>
      </c>
      <c r="B30" s="169" t="s">
        <v>35</v>
      </c>
      <c r="C30" s="169"/>
      <c r="D30" s="169" t="s">
        <v>36</v>
      </c>
      <c r="E30" s="169" t="s">
        <v>37</v>
      </c>
      <c r="F30" s="169"/>
      <c r="G30" s="169" t="s">
        <v>38</v>
      </c>
      <c r="H30" s="169"/>
      <c r="I30" s="169" t="s">
        <v>39</v>
      </c>
      <c r="J30" s="169"/>
    </row>
    <row r="31" spans="1:10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x14ac:dyDescent="0.2">
      <c r="A32" s="19"/>
      <c r="B32" s="225"/>
      <c r="C32" s="137"/>
      <c r="D32" s="19">
        <v>84860</v>
      </c>
      <c r="E32" s="196">
        <v>43213</v>
      </c>
      <c r="F32" s="137"/>
      <c r="G32" s="137" t="s">
        <v>1011</v>
      </c>
      <c r="H32" s="137"/>
      <c r="I32" s="138">
        <v>201724.23</v>
      </c>
      <c r="J32" s="138"/>
    </row>
    <row r="33" spans="1:10" x14ac:dyDescent="0.2">
      <c r="A33" s="58"/>
      <c r="B33" s="259"/>
      <c r="C33" s="151"/>
      <c r="D33" s="58">
        <v>100093</v>
      </c>
      <c r="E33" s="260"/>
      <c r="F33" s="151"/>
      <c r="G33" s="259" t="s">
        <v>1167</v>
      </c>
      <c r="H33" s="151"/>
      <c r="I33" s="152">
        <v>55947.6</v>
      </c>
      <c r="J33" s="152"/>
    </row>
    <row r="34" spans="1:10" x14ac:dyDescent="0.2">
      <c r="A34" s="58"/>
      <c r="B34" s="259"/>
      <c r="C34" s="151"/>
      <c r="D34" s="58">
        <v>100093</v>
      </c>
      <c r="E34" s="260"/>
      <c r="F34" s="151"/>
      <c r="G34" s="259" t="s">
        <v>1168</v>
      </c>
      <c r="H34" s="151"/>
      <c r="I34" s="152"/>
      <c r="J34" s="152"/>
    </row>
    <row r="35" spans="1:10" x14ac:dyDescent="0.2">
      <c r="A35" s="58"/>
      <c r="B35" s="151"/>
      <c r="C35" s="151"/>
      <c r="D35" s="58">
        <v>110753</v>
      </c>
      <c r="E35" s="151"/>
      <c r="F35" s="151"/>
      <c r="G35" s="151" t="s">
        <v>1360</v>
      </c>
      <c r="H35" s="151"/>
      <c r="I35" s="152"/>
      <c r="J35" s="152"/>
    </row>
    <row r="36" spans="1:10" x14ac:dyDescent="0.2">
      <c r="A36" s="9"/>
      <c r="B36" s="128"/>
      <c r="C36" s="128"/>
      <c r="D36" s="9"/>
      <c r="E36" s="128"/>
      <c r="F36" s="128"/>
      <c r="G36" s="128"/>
      <c r="H36" s="128"/>
      <c r="I36" s="136"/>
      <c r="J36" s="136"/>
    </row>
    <row r="37" spans="1:10" x14ac:dyDescent="0.2">
      <c r="A37" s="9"/>
      <c r="B37" s="128"/>
      <c r="C37" s="128"/>
      <c r="D37" s="9"/>
      <c r="E37" s="128"/>
      <c r="F37" s="128"/>
      <c r="G37" s="128"/>
      <c r="H37" s="128"/>
      <c r="I37" s="136"/>
      <c r="J37" s="136"/>
    </row>
    <row r="38" spans="1:10" x14ac:dyDescent="0.2">
      <c r="A38" s="9"/>
      <c r="B38" s="128"/>
      <c r="C38" s="128"/>
      <c r="D38" s="9"/>
      <c r="E38" s="128"/>
      <c r="F38" s="128"/>
      <c r="G38" s="128"/>
      <c r="H38" s="128"/>
      <c r="I38" s="136"/>
      <c r="J38" s="136"/>
    </row>
    <row r="39" spans="1:10" ht="13.5" thickBot="1" x14ac:dyDescent="0.25">
      <c r="A39" s="9"/>
      <c r="B39" s="128"/>
      <c r="C39" s="128"/>
      <c r="D39" s="9"/>
      <c r="E39" s="128"/>
      <c r="F39" s="128"/>
      <c r="G39" s="128"/>
      <c r="H39" s="128"/>
      <c r="I39" s="226"/>
      <c r="J39" s="226"/>
    </row>
    <row r="40" spans="1:10" ht="13.5" thickTop="1" x14ac:dyDescent="0.2">
      <c r="A40" s="13"/>
      <c r="B40" s="13"/>
      <c r="C40" s="13"/>
      <c r="D40" s="13"/>
      <c r="E40" s="13"/>
      <c r="F40" s="13"/>
      <c r="G40" s="13"/>
      <c r="H40" s="13" t="s">
        <v>33</v>
      </c>
      <c r="I40" s="140">
        <f>SUM(I32:J39)</f>
        <v>257671.83000000002</v>
      </c>
      <c r="J40" s="140"/>
    </row>
    <row r="41" spans="1:10" x14ac:dyDescent="0.2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 x14ac:dyDescent="0.25">
      <c r="A42" s="15" t="s">
        <v>46</v>
      </c>
      <c r="B42" s="16"/>
      <c r="C42" s="16"/>
      <c r="D42" s="16"/>
      <c r="E42" s="16"/>
      <c r="F42" s="16"/>
      <c r="G42" s="16"/>
      <c r="H42" s="16"/>
      <c r="I42" s="149" t="s">
        <v>47</v>
      </c>
      <c r="J42" s="150"/>
    </row>
    <row r="43" spans="1:10" x14ac:dyDescent="0.2">
      <c r="A43" s="144" t="s">
        <v>48</v>
      </c>
      <c r="B43" s="144"/>
      <c r="C43" s="144"/>
      <c r="D43" s="144"/>
      <c r="E43" s="144"/>
      <c r="F43" s="144"/>
      <c r="G43" s="144"/>
      <c r="H43" s="144"/>
      <c r="I43" s="148">
        <f>I27*80%</f>
        <v>2442407.1760000004</v>
      </c>
      <c r="J43" s="148"/>
    </row>
    <row r="44" spans="1:10" x14ac:dyDescent="0.2">
      <c r="A44" s="144" t="s">
        <v>49</v>
      </c>
      <c r="B44" s="144"/>
      <c r="C44" s="144"/>
      <c r="D44" s="144"/>
      <c r="E44" s="144"/>
      <c r="F44" s="144"/>
      <c r="G44" s="144"/>
      <c r="H44" s="144"/>
      <c r="I44" s="184">
        <v>0</v>
      </c>
      <c r="J44" s="184"/>
    </row>
    <row r="45" spans="1:10" ht="13.5" thickBot="1" x14ac:dyDescent="0.25">
      <c r="A45" s="144" t="s">
        <v>50</v>
      </c>
      <c r="B45" s="144"/>
      <c r="C45" s="144"/>
      <c r="D45" s="144"/>
      <c r="E45" s="144"/>
      <c r="F45" s="144"/>
      <c r="G45" s="144"/>
      <c r="H45" s="144"/>
      <c r="I45" s="145">
        <f>I40</f>
        <v>257671.83000000002</v>
      </c>
      <c r="J45" s="145"/>
    </row>
    <row r="46" spans="1:10" ht="13.5" thickTop="1" x14ac:dyDescent="0.2">
      <c r="H46" s="18" t="s">
        <v>33</v>
      </c>
      <c r="I46" s="129">
        <f>I43+I44-I45</f>
        <v>2184735.3460000004</v>
      </c>
      <c r="J46" s="130"/>
    </row>
    <row r="48" spans="1:10" ht="15" x14ac:dyDescent="0.25">
      <c r="A48" s="131" t="s">
        <v>51</v>
      </c>
      <c r="B48" s="132"/>
      <c r="C48" s="132"/>
      <c r="D48" s="132"/>
      <c r="E48" s="132"/>
      <c r="F48" s="132"/>
      <c r="G48" s="132"/>
      <c r="H48" s="132"/>
      <c r="I48" s="132"/>
      <c r="J48" s="133"/>
    </row>
    <row r="49" spans="1:10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  <row r="53" spans="1:10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</row>
    <row r="54" spans="1:10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</row>
  </sheetData>
  <mergeCells count="122"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B25:C25"/>
    <mergeCell ref="D25:E25"/>
    <mergeCell ref="G25:H25"/>
    <mergeCell ref="B26:C26"/>
    <mergeCell ref="D26:E26"/>
    <mergeCell ref="G26:H26"/>
    <mergeCell ref="A29:J29"/>
    <mergeCell ref="A30:A31"/>
    <mergeCell ref="B30:C31"/>
    <mergeCell ref="D30:D31"/>
    <mergeCell ref="E30:F31"/>
    <mergeCell ref="G30:H31"/>
    <mergeCell ref="I30:J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E37:F37"/>
    <mergeCell ref="G37:H37"/>
    <mergeCell ref="I37:J37"/>
    <mergeCell ref="B38:C38"/>
    <mergeCell ref="E38:F38"/>
    <mergeCell ref="G38:H38"/>
    <mergeCell ref="I38:J38"/>
    <mergeCell ref="A48:J48"/>
    <mergeCell ref="A49:J54"/>
    <mergeCell ref="A43:H43"/>
    <mergeCell ref="I43:J43"/>
    <mergeCell ref="A44:H44"/>
    <mergeCell ref="I44:J44"/>
    <mergeCell ref="B39:C39"/>
    <mergeCell ref="E39:F39"/>
    <mergeCell ref="G39:H39"/>
    <mergeCell ref="I39:J39"/>
    <mergeCell ref="I40:J40"/>
    <mergeCell ref="I42:J42"/>
    <mergeCell ref="A45:H45"/>
    <mergeCell ref="I45:J45"/>
    <mergeCell ref="I46:J46"/>
  </mergeCells>
  <pageMargins left="0.7" right="0.7" top="0.75" bottom="0.75" header="0.3" footer="0.3"/>
  <pageSetup scale="8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7">
    <pageSetUpPr fitToPage="1"/>
  </sheetPr>
  <dimension ref="A1:K62"/>
  <sheetViews>
    <sheetView workbookViewId="0">
      <selection activeCell="E40" sqref="E40:F40"/>
    </sheetView>
  </sheetViews>
  <sheetFormatPr defaultRowHeight="12.75" x14ac:dyDescent="0.2"/>
  <cols>
    <col min="6" max="6" width="11.42578125" customWidth="1"/>
    <col min="9" max="9" width="13.5703125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427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2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233"/>
    </row>
    <row r="6" spans="1:11" x14ac:dyDescent="0.2">
      <c r="A6" s="9">
        <v>1</v>
      </c>
      <c r="B6" s="128">
        <v>3947343</v>
      </c>
      <c r="C6" s="128"/>
      <c r="D6" s="128"/>
      <c r="E6" s="128"/>
      <c r="F6" s="12">
        <v>35360</v>
      </c>
      <c r="G6" s="169" t="s">
        <v>428</v>
      </c>
      <c r="H6" s="169"/>
      <c r="I6" s="39">
        <v>105371</v>
      </c>
      <c r="J6" s="32">
        <f t="shared" ref="J6:J20" si="0">I6*0.8</f>
        <v>84296.8</v>
      </c>
    </row>
    <row r="7" spans="1:11" x14ac:dyDescent="0.2">
      <c r="A7" s="9">
        <v>2</v>
      </c>
      <c r="B7" s="128">
        <v>3837577</v>
      </c>
      <c r="C7" s="128"/>
      <c r="D7" s="128"/>
      <c r="E7" s="128"/>
      <c r="F7" s="12">
        <v>35360</v>
      </c>
      <c r="G7" s="169" t="s">
        <v>429</v>
      </c>
      <c r="H7" s="169"/>
      <c r="I7" s="39">
        <v>42648.5</v>
      </c>
      <c r="J7" s="32">
        <f t="shared" si="0"/>
        <v>34118.800000000003</v>
      </c>
    </row>
    <row r="8" spans="1:11" x14ac:dyDescent="0.2">
      <c r="A8" s="9">
        <v>3</v>
      </c>
      <c r="B8" s="128">
        <v>3941574</v>
      </c>
      <c r="C8" s="128"/>
      <c r="D8" s="128"/>
      <c r="E8" s="128"/>
      <c r="F8" s="12">
        <v>35360</v>
      </c>
      <c r="G8" s="169" t="s">
        <v>430</v>
      </c>
      <c r="H8" s="169"/>
      <c r="I8" s="39">
        <v>275700.05</v>
      </c>
      <c r="J8" s="32">
        <f t="shared" si="0"/>
        <v>220560.04</v>
      </c>
    </row>
    <row r="9" spans="1:11" x14ac:dyDescent="0.2">
      <c r="A9" s="9">
        <v>4</v>
      </c>
      <c r="B9" s="128">
        <v>3945413</v>
      </c>
      <c r="C9" s="128"/>
      <c r="D9" s="128"/>
      <c r="E9" s="128"/>
      <c r="F9" s="12">
        <v>35360</v>
      </c>
      <c r="G9" s="169" t="s">
        <v>431</v>
      </c>
      <c r="H9" s="169"/>
      <c r="I9" s="39">
        <v>124629.85</v>
      </c>
      <c r="J9" s="32">
        <f t="shared" si="0"/>
        <v>99703.88</v>
      </c>
      <c r="K9" s="107">
        <f>J6+J7+J8+J9</f>
        <v>438679.52</v>
      </c>
    </row>
    <row r="10" spans="1:11" x14ac:dyDescent="0.2">
      <c r="A10" s="9">
        <v>5</v>
      </c>
      <c r="B10" s="128">
        <v>3940233</v>
      </c>
      <c r="C10" s="128"/>
      <c r="D10" s="128">
        <v>3940225</v>
      </c>
      <c r="E10" s="128"/>
      <c r="F10" s="12">
        <v>40869</v>
      </c>
      <c r="G10" s="169"/>
      <c r="H10" s="169"/>
      <c r="I10" s="39">
        <v>152319.13</v>
      </c>
      <c r="J10" s="32">
        <f t="shared" si="0"/>
        <v>121855.304</v>
      </c>
    </row>
    <row r="11" spans="1:11" x14ac:dyDescent="0.2">
      <c r="A11" s="9">
        <v>6</v>
      </c>
      <c r="B11" s="128">
        <v>3937550</v>
      </c>
      <c r="C11" s="128"/>
      <c r="D11" s="128">
        <v>3937542</v>
      </c>
      <c r="E11" s="128"/>
      <c r="F11" s="12">
        <v>40946</v>
      </c>
      <c r="G11" s="169"/>
      <c r="H11" s="169"/>
      <c r="I11" s="39">
        <v>163628.89000000001</v>
      </c>
      <c r="J11" s="32">
        <f t="shared" si="0"/>
        <v>130903.11200000002</v>
      </c>
    </row>
    <row r="12" spans="1:11" x14ac:dyDescent="0.2">
      <c r="A12" s="9">
        <v>7</v>
      </c>
      <c r="B12" s="128">
        <v>3938670</v>
      </c>
      <c r="C12" s="128"/>
      <c r="D12" s="128">
        <v>3930003</v>
      </c>
      <c r="E12" s="128"/>
      <c r="F12" s="12">
        <v>42401</v>
      </c>
      <c r="G12" s="169"/>
      <c r="H12" s="169"/>
      <c r="I12" s="39">
        <v>192677.09</v>
      </c>
      <c r="J12" s="32">
        <f t="shared" si="0"/>
        <v>154141.67199999999</v>
      </c>
    </row>
    <row r="13" spans="1:11" x14ac:dyDescent="0.2">
      <c r="A13" s="9">
        <v>8</v>
      </c>
      <c r="B13" s="128">
        <v>3935310</v>
      </c>
      <c r="C13" s="128"/>
      <c r="D13" s="128">
        <v>3930002</v>
      </c>
      <c r="E13" s="128"/>
      <c r="F13" s="12">
        <v>42401</v>
      </c>
      <c r="G13" s="169"/>
      <c r="H13" s="169"/>
      <c r="I13" s="39">
        <v>271630.96000000002</v>
      </c>
      <c r="J13" s="32">
        <f t="shared" si="0"/>
        <v>217304.76800000004</v>
      </c>
    </row>
    <row r="14" spans="1:11" x14ac:dyDescent="0.2">
      <c r="A14" s="9">
        <v>9</v>
      </c>
      <c r="B14" s="128">
        <v>3934381</v>
      </c>
      <c r="C14" s="128"/>
      <c r="D14" s="128">
        <v>3934382</v>
      </c>
      <c r="E14" s="128"/>
      <c r="F14" s="12">
        <v>43132</v>
      </c>
      <c r="G14" s="169"/>
      <c r="H14" s="169"/>
      <c r="I14" s="39">
        <v>181390.33</v>
      </c>
      <c r="J14" s="32">
        <f t="shared" si="0"/>
        <v>145112.264</v>
      </c>
    </row>
    <row r="15" spans="1:11" x14ac:dyDescent="0.2">
      <c r="A15" s="9">
        <v>10</v>
      </c>
      <c r="B15" s="128">
        <v>3944778</v>
      </c>
      <c r="C15" s="128"/>
      <c r="D15" s="128">
        <v>3944779</v>
      </c>
      <c r="E15" s="128"/>
      <c r="F15" s="12">
        <v>43452</v>
      </c>
      <c r="G15" s="169"/>
      <c r="H15" s="169"/>
      <c r="I15" s="39">
        <v>181679.83</v>
      </c>
      <c r="J15" s="32">
        <f t="shared" si="0"/>
        <v>145343.864</v>
      </c>
    </row>
    <row r="16" spans="1:11" x14ac:dyDescent="0.2">
      <c r="A16" s="9">
        <v>11</v>
      </c>
      <c r="B16" s="128">
        <v>3942155</v>
      </c>
      <c r="C16" s="128"/>
      <c r="D16" s="230" t="s">
        <v>1151</v>
      </c>
      <c r="E16" s="128"/>
      <c r="F16" s="12">
        <v>43895</v>
      </c>
      <c r="G16" s="169"/>
      <c r="H16" s="169"/>
      <c r="I16" s="39">
        <v>30418.54</v>
      </c>
      <c r="J16" s="32">
        <f t="shared" si="0"/>
        <v>24334.832000000002</v>
      </c>
    </row>
    <row r="17" spans="1:10" x14ac:dyDescent="0.2">
      <c r="A17" s="9">
        <v>12</v>
      </c>
      <c r="B17" s="128">
        <v>3942589</v>
      </c>
      <c r="C17" s="128"/>
      <c r="D17" s="128">
        <v>3942590</v>
      </c>
      <c r="E17" s="128"/>
      <c r="F17" s="12">
        <v>43900</v>
      </c>
      <c r="G17" s="169"/>
      <c r="H17" s="169"/>
      <c r="I17" s="39">
        <v>82821.56</v>
      </c>
      <c r="J17" s="32">
        <f t="shared" si="0"/>
        <v>66257.248000000007</v>
      </c>
    </row>
    <row r="18" spans="1:10" x14ac:dyDescent="0.2">
      <c r="A18" s="9">
        <v>13</v>
      </c>
      <c r="B18" s="128">
        <v>3930890</v>
      </c>
      <c r="C18" s="128"/>
      <c r="D18" s="128" t="s">
        <v>1151</v>
      </c>
      <c r="E18" s="128"/>
      <c r="F18" s="12">
        <v>44586</v>
      </c>
      <c r="G18" s="169" t="s">
        <v>1499</v>
      </c>
      <c r="H18" s="169"/>
      <c r="I18" s="39">
        <v>160326.1</v>
      </c>
      <c r="J18" s="32">
        <f t="shared" si="0"/>
        <v>128260.88</v>
      </c>
    </row>
    <row r="19" spans="1:10" x14ac:dyDescent="0.2">
      <c r="A19" s="9">
        <v>14</v>
      </c>
      <c r="B19" s="128">
        <v>3939596</v>
      </c>
      <c r="C19" s="128"/>
      <c r="D19" s="128">
        <v>3939597</v>
      </c>
      <c r="E19" s="128"/>
      <c r="F19" s="12">
        <v>44652</v>
      </c>
      <c r="G19" s="169" t="s">
        <v>1520</v>
      </c>
      <c r="H19" s="169"/>
      <c r="I19" s="39">
        <v>365558.26</v>
      </c>
      <c r="J19" s="32">
        <f t="shared" si="0"/>
        <v>292446.60800000001</v>
      </c>
    </row>
    <row r="20" spans="1:10" x14ac:dyDescent="0.2">
      <c r="A20" s="9">
        <v>15</v>
      </c>
      <c r="B20" s="128">
        <v>3936570</v>
      </c>
      <c r="C20" s="128"/>
      <c r="D20" s="128" t="s">
        <v>1151</v>
      </c>
      <c r="E20" s="128"/>
      <c r="F20" s="12">
        <v>44655</v>
      </c>
      <c r="G20" s="169" t="s">
        <v>1526</v>
      </c>
      <c r="H20" s="169"/>
      <c r="I20" s="39">
        <v>457789.8</v>
      </c>
      <c r="J20" s="32">
        <f t="shared" si="0"/>
        <v>366231.84</v>
      </c>
    </row>
    <row r="21" spans="1:10" x14ac:dyDescent="0.2">
      <c r="A21" s="9"/>
      <c r="B21" s="128"/>
      <c r="C21" s="128"/>
      <c r="D21" s="128"/>
      <c r="E21" s="128"/>
      <c r="F21" s="12"/>
      <c r="G21" s="169"/>
      <c r="H21" s="169"/>
      <c r="I21" s="39"/>
      <c r="J21" s="32"/>
    </row>
    <row r="22" spans="1:10" ht="13.5" thickBot="1" x14ac:dyDescent="0.25">
      <c r="A22" s="9"/>
      <c r="B22" s="128"/>
      <c r="C22" s="128"/>
      <c r="D22" s="128"/>
      <c r="E22" s="128"/>
      <c r="F22" s="12"/>
      <c r="G22" s="169"/>
      <c r="H22" s="169"/>
      <c r="I22" s="41"/>
      <c r="J22" s="55"/>
    </row>
    <row r="23" spans="1:10" ht="13.5" thickTop="1" x14ac:dyDescent="0.2">
      <c r="A23" s="13"/>
      <c r="B23" s="13"/>
      <c r="C23" s="13"/>
      <c r="D23" s="13"/>
      <c r="E23" s="13"/>
      <c r="F23" s="13"/>
      <c r="G23" s="13"/>
      <c r="H23" s="13" t="s">
        <v>33</v>
      </c>
      <c r="I23" s="43">
        <f>SUM(I6:I22)</f>
        <v>2788589.89</v>
      </c>
      <c r="J23" s="43">
        <f>SUM(J6:J22)</f>
        <v>2230871.912</v>
      </c>
    </row>
    <row r="24" spans="1:1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x14ac:dyDescent="0.25">
      <c r="A25" s="131" t="s">
        <v>34</v>
      </c>
      <c r="B25" s="132"/>
      <c r="C25" s="132"/>
      <c r="D25" s="132"/>
      <c r="E25" s="132"/>
      <c r="F25" s="132"/>
      <c r="G25" s="132"/>
      <c r="H25" s="132"/>
      <c r="I25" s="132"/>
      <c r="J25" s="133"/>
    </row>
    <row r="26" spans="1:10" x14ac:dyDescent="0.2">
      <c r="A26" s="169" t="s">
        <v>23</v>
      </c>
      <c r="B26" s="169" t="s">
        <v>35</v>
      </c>
      <c r="C26" s="169"/>
      <c r="D26" s="169" t="s">
        <v>36</v>
      </c>
      <c r="E26" s="169" t="s">
        <v>37</v>
      </c>
      <c r="F26" s="169"/>
      <c r="G26" s="169" t="s">
        <v>38</v>
      </c>
      <c r="H26" s="169"/>
      <c r="I26" s="169" t="s">
        <v>39</v>
      </c>
      <c r="J26" s="169"/>
    </row>
    <row r="27" spans="1:10" x14ac:dyDescent="0.2">
      <c r="A27" s="169"/>
      <c r="B27" s="169"/>
      <c r="C27" s="169"/>
      <c r="D27" s="169"/>
      <c r="E27" s="169"/>
      <c r="F27" s="169"/>
      <c r="G27" s="169"/>
      <c r="H27" s="169"/>
      <c r="I27" s="169"/>
      <c r="J27" s="169"/>
    </row>
    <row r="28" spans="1:10" x14ac:dyDescent="0.2">
      <c r="A28" s="9">
        <v>1</v>
      </c>
      <c r="B28" s="128" t="s">
        <v>433</v>
      </c>
      <c r="C28" s="128"/>
      <c r="D28" s="9">
        <v>78848</v>
      </c>
      <c r="E28" s="182">
        <v>40934</v>
      </c>
      <c r="F28" s="128"/>
      <c r="G28" s="227" t="s">
        <v>819</v>
      </c>
      <c r="H28" s="228"/>
      <c r="I28" s="136">
        <v>101359.39</v>
      </c>
      <c r="J28" s="136"/>
    </row>
    <row r="29" spans="1:10" x14ac:dyDescent="0.2">
      <c r="A29" s="19">
        <v>2</v>
      </c>
      <c r="B29" s="137"/>
      <c r="C29" s="137"/>
      <c r="D29" s="19">
        <v>83300</v>
      </c>
      <c r="E29" s="196">
        <v>41626</v>
      </c>
      <c r="F29" s="137"/>
      <c r="G29" s="137" t="s">
        <v>434</v>
      </c>
      <c r="H29" s="137"/>
      <c r="I29" s="138">
        <v>135640.97</v>
      </c>
      <c r="J29" s="138"/>
    </row>
    <row r="30" spans="1:10" x14ac:dyDescent="0.2">
      <c r="A30" s="19"/>
      <c r="B30" s="137"/>
      <c r="C30" s="137"/>
      <c r="D30" s="19">
        <v>87270</v>
      </c>
      <c r="E30" s="137" t="s">
        <v>864</v>
      </c>
      <c r="F30" s="137"/>
      <c r="G30" s="137"/>
      <c r="H30" s="137"/>
      <c r="I30" s="138">
        <v>45149.2</v>
      </c>
      <c r="J30" s="138"/>
    </row>
    <row r="31" spans="1:10" x14ac:dyDescent="0.2">
      <c r="A31" s="19"/>
      <c r="B31" s="137"/>
      <c r="C31" s="137"/>
      <c r="D31" s="19">
        <v>88870</v>
      </c>
      <c r="E31" s="137" t="s">
        <v>912</v>
      </c>
      <c r="F31" s="137"/>
      <c r="G31" s="137"/>
      <c r="H31" s="137"/>
      <c r="I31" s="138">
        <v>306.35000000000002</v>
      </c>
      <c r="J31" s="138"/>
    </row>
    <row r="32" spans="1:10" x14ac:dyDescent="0.2">
      <c r="A32" s="19"/>
      <c r="B32" s="137"/>
      <c r="C32" s="137"/>
      <c r="D32" s="19">
        <v>90189</v>
      </c>
      <c r="E32" s="137" t="s">
        <v>939</v>
      </c>
      <c r="F32" s="137"/>
      <c r="G32" s="137"/>
      <c r="H32" s="137"/>
      <c r="I32" s="138">
        <v>1124.4000000000001</v>
      </c>
      <c r="J32" s="138"/>
    </row>
    <row r="33" spans="1:10" x14ac:dyDescent="0.2">
      <c r="A33" s="19"/>
      <c r="B33" s="137"/>
      <c r="C33" s="137"/>
      <c r="D33" s="19">
        <v>88701</v>
      </c>
      <c r="E33" s="196">
        <v>42214</v>
      </c>
      <c r="F33" s="137"/>
      <c r="G33" s="137" t="s">
        <v>978</v>
      </c>
      <c r="H33" s="137"/>
      <c r="I33" s="138">
        <v>175250.45</v>
      </c>
      <c r="J33" s="138"/>
    </row>
    <row r="34" spans="1:10" x14ac:dyDescent="0.2">
      <c r="A34" s="19"/>
      <c r="B34" s="137"/>
      <c r="C34" s="137"/>
      <c r="D34" s="19">
        <v>92742</v>
      </c>
      <c r="E34" s="137" t="s">
        <v>1009</v>
      </c>
      <c r="F34" s="137"/>
      <c r="G34" s="137"/>
      <c r="H34" s="137"/>
      <c r="I34" s="138">
        <v>1707.6</v>
      </c>
      <c r="J34" s="138"/>
    </row>
    <row r="35" spans="1:10" x14ac:dyDescent="0.2">
      <c r="A35" s="19"/>
      <c r="B35" s="137"/>
      <c r="C35" s="137"/>
      <c r="D35" s="19">
        <v>93896</v>
      </c>
      <c r="E35" s="137" t="s">
        <v>1027</v>
      </c>
      <c r="F35" s="137"/>
      <c r="G35" s="137"/>
      <c r="H35" s="137"/>
      <c r="I35" s="138">
        <v>9501.6</v>
      </c>
      <c r="J35" s="138"/>
    </row>
    <row r="36" spans="1:10" x14ac:dyDescent="0.2">
      <c r="A36" s="19"/>
      <c r="B36" s="137"/>
      <c r="C36" s="137"/>
      <c r="D36" s="19">
        <v>94457</v>
      </c>
      <c r="E36" s="137"/>
      <c r="F36" s="137"/>
      <c r="G36" s="137" t="s">
        <v>1096</v>
      </c>
      <c r="H36" s="137"/>
      <c r="I36" s="138">
        <v>72880.84</v>
      </c>
      <c r="J36" s="138"/>
    </row>
    <row r="37" spans="1:10" x14ac:dyDescent="0.2">
      <c r="A37" s="19"/>
      <c r="B37" s="137"/>
      <c r="C37" s="137"/>
      <c r="D37" s="19">
        <v>98718</v>
      </c>
      <c r="E37" s="196">
        <v>44637</v>
      </c>
      <c r="F37" s="137"/>
      <c r="G37" s="137" t="s">
        <v>1392</v>
      </c>
      <c r="H37" s="137"/>
      <c r="I37" s="138">
        <v>159104.88</v>
      </c>
      <c r="J37" s="138"/>
    </row>
    <row r="38" spans="1:10" x14ac:dyDescent="0.2">
      <c r="A38" s="19"/>
      <c r="B38" s="137"/>
      <c r="C38" s="137"/>
      <c r="D38" s="19">
        <v>93990</v>
      </c>
      <c r="E38" s="137"/>
      <c r="F38" s="137"/>
      <c r="G38" s="137" t="s">
        <v>1393</v>
      </c>
      <c r="H38" s="137"/>
      <c r="I38" s="138">
        <v>122752.65</v>
      </c>
      <c r="J38" s="138"/>
    </row>
    <row r="39" spans="1:10" x14ac:dyDescent="0.2">
      <c r="A39" s="82"/>
      <c r="B39" s="198"/>
      <c r="C39" s="198"/>
      <c r="D39" s="82">
        <v>113808</v>
      </c>
      <c r="E39" s="198"/>
      <c r="F39" s="198"/>
      <c r="G39" s="198" t="s">
        <v>1616</v>
      </c>
      <c r="H39" s="198"/>
      <c r="I39" s="199">
        <v>156450</v>
      </c>
      <c r="J39" s="199"/>
    </row>
    <row r="40" spans="1:10" x14ac:dyDescent="0.2">
      <c r="A40" s="58"/>
      <c r="B40" s="151"/>
      <c r="C40" s="151"/>
      <c r="D40" s="58">
        <v>113806</v>
      </c>
      <c r="E40" s="151"/>
      <c r="F40" s="151"/>
      <c r="G40" s="151" t="s">
        <v>1391</v>
      </c>
      <c r="H40" s="151"/>
      <c r="I40" s="152">
        <v>169050</v>
      </c>
      <c r="J40" s="152"/>
    </row>
    <row r="41" spans="1:10" x14ac:dyDescent="0.2">
      <c r="A41" s="58"/>
      <c r="B41" s="151"/>
      <c r="C41" s="151"/>
      <c r="D41" s="58">
        <v>113809</v>
      </c>
      <c r="E41" s="151"/>
      <c r="F41" s="151"/>
      <c r="G41" s="151" t="s">
        <v>1500</v>
      </c>
      <c r="H41" s="151"/>
      <c r="I41" s="152">
        <v>313050</v>
      </c>
      <c r="J41" s="152"/>
    </row>
    <row r="42" spans="1:10" x14ac:dyDescent="0.2">
      <c r="A42" s="58"/>
      <c r="B42" s="151"/>
      <c r="C42" s="151"/>
      <c r="D42" s="58">
        <v>113811</v>
      </c>
      <c r="E42" s="151"/>
      <c r="F42" s="151"/>
      <c r="G42" s="151" t="s">
        <v>1521</v>
      </c>
      <c r="H42" s="151"/>
      <c r="I42" s="152">
        <v>260850</v>
      </c>
      <c r="J42" s="152"/>
    </row>
    <row r="43" spans="1:10" x14ac:dyDescent="0.2">
      <c r="A43" s="58"/>
      <c r="B43" s="151"/>
      <c r="C43" s="151"/>
      <c r="D43" s="58">
        <v>113802</v>
      </c>
      <c r="E43" s="151"/>
      <c r="F43" s="151"/>
      <c r="G43" s="151" t="s">
        <v>1527</v>
      </c>
      <c r="H43" s="151"/>
      <c r="I43" s="152">
        <v>139887.82999999999</v>
      </c>
      <c r="J43" s="152"/>
    </row>
    <row r="44" spans="1:10" x14ac:dyDescent="0.2">
      <c r="A44" s="58"/>
      <c r="B44" s="151"/>
      <c r="C44" s="151"/>
      <c r="D44" s="58"/>
      <c r="E44" s="151"/>
      <c r="F44" s="151"/>
      <c r="G44" s="151"/>
      <c r="H44" s="151"/>
      <c r="I44" s="152"/>
      <c r="J44" s="152"/>
    </row>
    <row r="45" spans="1:10" x14ac:dyDescent="0.2">
      <c r="A45" s="58"/>
      <c r="B45" s="151"/>
      <c r="C45" s="151"/>
      <c r="D45" s="58"/>
      <c r="E45" s="151"/>
      <c r="F45" s="151"/>
      <c r="G45" s="151"/>
      <c r="H45" s="151"/>
      <c r="I45" s="152"/>
      <c r="J45" s="152"/>
    </row>
    <row r="46" spans="1:10" ht="13.5" thickBot="1" x14ac:dyDescent="0.25">
      <c r="A46" s="9"/>
      <c r="B46" s="128"/>
      <c r="C46" s="128"/>
      <c r="D46" s="9"/>
      <c r="E46" s="128"/>
      <c r="F46" s="128"/>
      <c r="G46" s="128"/>
      <c r="H46" s="128"/>
      <c r="I46" s="226"/>
      <c r="J46" s="226"/>
    </row>
    <row r="47" spans="1:10" ht="13.5" thickTop="1" x14ac:dyDescent="0.2">
      <c r="A47" s="13"/>
      <c r="B47" s="13"/>
      <c r="C47" s="13"/>
      <c r="D47" s="13"/>
      <c r="E47" s="13"/>
      <c r="F47" s="13"/>
      <c r="G47" s="13"/>
      <c r="H47" s="13" t="s">
        <v>33</v>
      </c>
      <c r="I47" s="140">
        <f>SUM(I28:J46)</f>
        <v>1864066.1600000001</v>
      </c>
      <c r="J47" s="140"/>
    </row>
    <row r="48" spans="1:10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 x14ac:dyDescent="0.25">
      <c r="A49" s="15" t="s">
        <v>46</v>
      </c>
      <c r="B49" s="16"/>
      <c r="C49" s="16"/>
      <c r="D49" s="16"/>
      <c r="E49" s="16"/>
      <c r="F49" s="16"/>
      <c r="G49" s="16"/>
      <c r="H49" s="16"/>
      <c r="I49" s="149" t="s">
        <v>47</v>
      </c>
      <c r="J49" s="150"/>
    </row>
    <row r="50" spans="1:10" x14ac:dyDescent="0.2">
      <c r="A50" s="144" t="s">
        <v>48</v>
      </c>
      <c r="B50" s="144"/>
      <c r="C50" s="144"/>
      <c r="D50" s="144"/>
      <c r="E50" s="144"/>
      <c r="F50" s="144"/>
      <c r="G50" s="144"/>
      <c r="H50" s="144"/>
      <c r="I50" s="148">
        <f>I23*80%</f>
        <v>2230871.912</v>
      </c>
      <c r="J50" s="148"/>
    </row>
    <row r="51" spans="1:10" x14ac:dyDescent="0.2">
      <c r="A51" s="144" t="s">
        <v>49</v>
      </c>
      <c r="B51" s="144"/>
      <c r="C51" s="144"/>
      <c r="D51" s="144"/>
      <c r="E51" s="144"/>
      <c r="F51" s="144"/>
      <c r="G51" s="144"/>
      <c r="H51" s="144"/>
      <c r="I51" s="184">
        <v>-209410</v>
      </c>
      <c r="J51" s="184"/>
    </row>
    <row r="52" spans="1:10" x14ac:dyDescent="0.2">
      <c r="A52" s="134" t="s">
        <v>1611</v>
      </c>
      <c r="B52" s="134"/>
      <c r="C52" s="134"/>
      <c r="D52" s="134"/>
      <c r="E52" s="134"/>
      <c r="F52" s="134"/>
      <c r="G52" s="134"/>
      <c r="H52" s="134"/>
      <c r="I52" s="135">
        <v>-157395.75</v>
      </c>
      <c r="J52" s="135"/>
    </row>
    <row r="53" spans="1:10" ht="13.5" thickBot="1" x14ac:dyDescent="0.25">
      <c r="A53" s="144" t="s">
        <v>50</v>
      </c>
      <c r="B53" s="144"/>
      <c r="C53" s="144"/>
      <c r="D53" s="144"/>
      <c r="E53" s="144"/>
      <c r="F53" s="144"/>
      <c r="G53" s="144"/>
      <c r="H53" s="144"/>
      <c r="I53" s="145">
        <f>I47</f>
        <v>1864066.1600000001</v>
      </c>
      <c r="J53" s="145"/>
    </row>
    <row r="54" spans="1:10" ht="13.5" thickTop="1" x14ac:dyDescent="0.2">
      <c r="H54" s="18" t="s">
        <v>33</v>
      </c>
      <c r="I54" s="316">
        <f>I50+I51+I52-I53</f>
        <v>1.999999862164259E-3</v>
      </c>
      <c r="J54" s="317"/>
    </row>
    <row r="56" spans="1:10" ht="15" x14ac:dyDescent="0.25">
      <c r="A56" s="131" t="s">
        <v>51</v>
      </c>
      <c r="B56" s="132"/>
      <c r="C56" s="132"/>
      <c r="D56" s="132"/>
      <c r="E56" s="132"/>
      <c r="F56" s="132"/>
      <c r="G56" s="132"/>
      <c r="H56" s="132"/>
      <c r="I56" s="132"/>
      <c r="J56" s="133"/>
    </row>
    <row r="57" spans="1:10" x14ac:dyDescent="0.2">
      <c r="A57" s="139" t="s">
        <v>432</v>
      </c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</row>
    <row r="59" spans="1:10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</row>
    <row r="60" spans="1:10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</row>
    <row r="61" spans="1:10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</row>
    <row r="62" spans="1:10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</row>
  </sheetData>
  <mergeCells count="156">
    <mergeCell ref="A52:H52"/>
    <mergeCell ref="I52:J52"/>
    <mergeCell ref="G22:H22"/>
    <mergeCell ref="B21:C21"/>
    <mergeCell ref="D21:E21"/>
    <mergeCell ref="G21:H21"/>
    <mergeCell ref="A25:J25"/>
    <mergeCell ref="A26:A27"/>
    <mergeCell ref="E37:F37"/>
    <mergeCell ref="G37:H37"/>
    <mergeCell ref="I37:J37"/>
    <mergeCell ref="G28:H28"/>
    <mergeCell ref="B29:C29"/>
    <mergeCell ref="E29:F29"/>
    <mergeCell ref="I26:J27"/>
    <mergeCell ref="E28:F28"/>
    <mergeCell ref="B28:C28"/>
    <mergeCell ref="I28:J28"/>
    <mergeCell ref="I35:J35"/>
    <mergeCell ref="I33:J33"/>
    <mergeCell ref="I30:J30"/>
    <mergeCell ref="I31:J31"/>
    <mergeCell ref="G30:H30"/>
    <mergeCell ref="B31:C31"/>
    <mergeCell ref="E31:F31"/>
    <mergeCell ref="G31:H31"/>
    <mergeCell ref="G29:H29"/>
    <mergeCell ref="B18:C18"/>
    <mergeCell ref="D18:E18"/>
    <mergeCell ref="G18:H18"/>
    <mergeCell ref="B19:C19"/>
    <mergeCell ref="D19:E19"/>
    <mergeCell ref="G19:H19"/>
    <mergeCell ref="B20:C20"/>
    <mergeCell ref="B30:C30"/>
    <mergeCell ref="E30:F30"/>
    <mergeCell ref="I54:J54"/>
    <mergeCell ref="A56:J56"/>
    <mergeCell ref="I50:J50"/>
    <mergeCell ref="B46:C46"/>
    <mergeCell ref="E46:F46"/>
    <mergeCell ref="G46:H46"/>
    <mergeCell ref="I46:J46"/>
    <mergeCell ref="B37:C37"/>
    <mergeCell ref="A57:J62"/>
    <mergeCell ref="B41:C41"/>
    <mergeCell ref="E41:F41"/>
    <mergeCell ref="G41:H41"/>
    <mergeCell ref="I41:J41"/>
    <mergeCell ref="B42:C42"/>
    <mergeCell ref="E42:F42"/>
    <mergeCell ref="G42:H42"/>
    <mergeCell ref="I42:J42"/>
    <mergeCell ref="B38:C38"/>
    <mergeCell ref="E38:F38"/>
    <mergeCell ref="G38:H38"/>
    <mergeCell ref="B39:C39"/>
    <mergeCell ref="E39:F39"/>
    <mergeCell ref="G39:H39"/>
    <mergeCell ref="I38:J38"/>
    <mergeCell ref="J4:J5"/>
    <mergeCell ref="A51:H51"/>
    <mergeCell ref="I51:J51"/>
    <mergeCell ref="A53:H53"/>
    <mergeCell ref="I53:J53"/>
    <mergeCell ref="I47:J47"/>
    <mergeCell ref="I49:J49"/>
    <mergeCell ref="A50:H50"/>
    <mergeCell ref="E34:F34"/>
    <mergeCell ref="G34:H34"/>
    <mergeCell ref="I34:J34"/>
    <mergeCell ref="B36:C36"/>
    <mergeCell ref="E36:F36"/>
    <mergeCell ref="G36:H36"/>
    <mergeCell ref="I36:J36"/>
    <mergeCell ref="B35:C35"/>
    <mergeCell ref="B34:C34"/>
    <mergeCell ref="E35:F35"/>
    <mergeCell ref="B32:C32"/>
    <mergeCell ref="E32:F32"/>
    <mergeCell ref="G32:H32"/>
    <mergeCell ref="I32:J32"/>
    <mergeCell ref="B33:C33"/>
    <mergeCell ref="G16:H16"/>
    <mergeCell ref="B12:C12"/>
    <mergeCell ref="D12:E12"/>
    <mergeCell ref="G12:H12"/>
    <mergeCell ref="B13:C13"/>
    <mergeCell ref="D13:E13"/>
    <mergeCell ref="G13:H13"/>
    <mergeCell ref="B16:C16"/>
    <mergeCell ref="D16:E16"/>
    <mergeCell ref="I4:I5"/>
    <mergeCell ref="B14:C14"/>
    <mergeCell ref="D14:E14"/>
    <mergeCell ref="G14:H14"/>
    <mergeCell ref="B15:C15"/>
    <mergeCell ref="D15:E15"/>
    <mergeCell ref="G15:H15"/>
    <mergeCell ref="D6:E6"/>
    <mergeCell ref="G6:H6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A3:J3"/>
    <mergeCell ref="A4:A5"/>
    <mergeCell ref="B4:E4"/>
    <mergeCell ref="F4:F5"/>
    <mergeCell ref="G4:H5"/>
    <mergeCell ref="B5:C5"/>
    <mergeCell ref="I40:J40"/>
    <mergeCell ref="B17:C17"/>
    <mergeCell ref="D17:E17"/>
    <mergeCell ref="G17:H17"/>
    <mergeCell ref="B40:C40"/>
    <mergeCell ref="E40:F40"/>
    <mergeCell ref="G40:H40"/>
    <mergeCell ref="I39:J39"/>
    <mergeCell ref="B22:C22"/>
    <mergeCell ref="D22:E22"/>
    <mergeCell ref="B8:C8"/>
    <mergeCell ref="D8:E8"/>
    <mergeCell ref="G8:H8"/>
    <mergeCell ref="D5:E5"/>
    <mergeCell ref="B7:C7"/>
    <mergeCell ref="D7:E7"/>
    <mergeCell ref="G7:H7"/>
    <mergeCell ref="B6:C6"/>
    <mergeCell ref="B45:C45"/>
    <mergeCell ref="E45:F45"/>
    <mergeCell ref="G45:H45"/>
    <mergeCell ref="I45:J45"/>
    <mergeCell ref="D20:E20"/>
    <mergeCell ref="G20:H20"/>
    <mergeCell ref="B43:C43"/>
    <mergeCell ref="E43:F43"/>
    <mergeCell ref="G43:H43"/>
    <mergeCell ref="I43:J43"/>
    <mergeCell ref="B44:C44"/>
    <mergeCell ref="E44:F44"/>
    <mergeCell ref="G44:H44"/>
    <mergeCell ref="I44:J44"/>
    <mergeCell ref="I29:J29"/>
    <mergeCell ref="B26:C27"/>
    <mergeCell ref="D26:D27"/>
    <mergeCell ref="E26:F27"/>
    <mergeCell ref="G26:H27"/>
    <mergeCell ref="G35:H35"/>
    <mergeCell ref="E33:F33"/>
    <mergeCell ref="G33:H33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47"/>
  <sheetViews>
    <sheetView topLeftCell="A7" workbookViewId="0">
      <selection activeCell="K15" sqref="K15"/>
    </sheetView>
  </sheetViews>
  <sheetFormatPr defaultRowHeight="12.75" x14ac:dyDescent="0.2"/>
  <cols>
    <col min="6" max="6" width="12.140625" customWidth="1"/>
    <col min="9" max="9" width="13" bestFit="1" customWidth="1"/>
    <col min="10" max="10" width="13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1051</v>
      </c>
      <c r="B2" s="6"/>
      <c r="C2" s="6"/>
      <c r="D2" s="6"/>
      <c r="E2" s="6"/>
      <c r="F2" s="6"/>
      <c r="G2" s="6"/>
      <c r="H2" s="6"/>
      <c r="I2" s="6"/>
      <c r="J2" s="59" t="s">
        <v>164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4031474</v>
      </c>
      <c r="C6" s="128"/>
      <c r="D6" s="128">
        <v>4038096</v>
      </c>
      <c r="E6" s="128"/>
      <c r="F6" s="12">
        <v>41330</v>
      </c>
      <c r="G6" s="169"/>
      <c r="H6" s="169"/>
      <c r="I6" s="32">
        <v>250772</v>
      </c>
      <c r="J6" s="32">
        <f t="shared" ref="J6:J13" si="0">I6*0.8</f>
        <v>200617.60000000001</v>
      </c>
    </row>
    <row r="7" spans="1:10" x14ac:dyDescent="0.2">
      <c r="A7" s="9">
        <v>2</v>
      </c>
      <c r="B7" s="128">
        <v>4030745</v>
      </c>
      <c r="C7" s="128"/>
      <c r="D7" s="128">
        <v>4030746</v>
      </c>
      <c r="E7" s="128"/>
      <c r="F7" s="12">
        <v>42810</v>
      </c>
      <c r="G7" s="169"/>
      <c r="H7" s="169"/>
      <c r="I7" s="32">
        <v>77340.850000000006</v>
      </c>
      <c r="J7" s="32">
        <f t="shared" si="0"/>
        <v>61872.680000000008</v>
      </c>
    </row>
    <row r="8" spans="1:10" x14ac:dyDescent="0.2">
      <c r="A8" s="9">
        <v>3</v>
      </c>
      <c r="B8" s="128">
        <v>4031717</v>
      </c>
      <c r="C8" s="128"/>
      <c r="D8" s="128">
        <v>4030003</v>
      </c>
      <c r="E8" s="128"/>
      <c r="F8" s="12">
        <v>42810</v>
      </c>
      <c r="G8" s="169"/>
      <c r="H8" s="169"/>
      <c r="I8" s="32">
        <v>84812.09</v>
      </c>
      <c r="J8" s="32">
        <f t="shared" si="0"/>
        <v>67849.672000000006</v>
      </c>
    </row>
    <row r="9" spans="1:10" x14ac:dyDescent="0.2">
      <c r="A9" s="9">
        <v>4</v>
      </c>
      <c r="B9" s="128">
        <v>4030729</v>
      </c>
      <c r="C9" s="128"/>
      <c r="D9" s="128">
        <v>4030730</v>
      </c>
      <c r="E9" s="128"/>
      <c r="F9" s="12">
        <v>42810</v>
      </c>
      <c r="G9" s="169"/>
      <c r="H9" s="169"/>
      <c r="I9" s="32">
        <v>99176.11</v>
      </c>
      <c r="J9" s="32">
        <f t="shared" si="0"/>
        <v>79340.888000000006</v>
      </c>
    </row>
    <row r="10" spans="1:10" x14ac:dyDescent="0.2">
      <c r="A10" s="9">
        <v>5</v>
      </c>
      <c r="B10" s="128">
        <v>4030753</v>
      </c>
      <c r="C10" s="128"/>
      <c r="D10" s="128">
        <v>4030754</v>
      </c>
      <c r="E10" s="128"/>
      <c r="F10" s="12">
        <v>43452</v>
      </c>
      <c r="G10" s="169"/>
      <c r="H10" s="169"/>
      <c r="I10" s="32">
        <v>88864.8</v>
      </c>
      <c r="J10" s="32">
        <f t="shared" si="0"/>
        <v>71091.840000000011</v>
      </c>
    </row>
    <row r="11" spans="1:10" x14ac:dyDescent="0.2">
      <c r="A11" s="9">
        <v>6</v>
      </c>
      <c r="B11" s="128">
        <v>4032632</v>
      </c>
      <c r="C11" s="128"/>
      <c r="D11" s="128">
        <v>4032633</v>
      </c>
      <c r="E11" s="128"/>
      <c r="F11" s="12">
        <v>44089</v>
      </c>
      <c r="G11" s="169"/>
      <c r="H11" s="169"/>
      <c r="I11" s="32">
        <v>716412.48</v>
      </c>
      <c r="J11" s="32">
        <f t="shared" si="0"/>
        <v>573129.98400000005</v>
      </c>
    </row>
    <row r="12" spans="1:10" x14ac:dyDescent="0.2">
      <c r="A12" s="9">
        <v>7</v>
      </c>
      <c r="B12" s="128">
        <v>4033493</v>
      </c>
      <c r="C12" s="128"/>
      <c r="D12" s="128">
        <v>4033494</v>
      </c>
      <c r="E12" s="128"/>
      <c r="F12" s="12">
        <v>44964</v>
      </c>
      <c r="G12" s="169"/>
      <c r="H12" s="169"/>
      <c r="I12" s="32">
        <v>518050</v>
      </c>
      <c r="J12" s="32">
        <f t="shared" si="0"/>
        <v>414440</v>
      </c>
    </row>
    <row r="13" spans="1:10" x14ac:dyDescent="0.2">
      <c r="A13" s="9">
        <v>8</v>
      </c>
      <c r="B13" s="128">
        <v>4031644</v>
      </c>
      <c r="C13" s="128"/>
      <c r="D13" s="128">
        <v>4031645</v>
      </c>
      <c r="E13" s="128"/>
      <c r="F13" s="12">
        <v>45139</v>
      </c>
      <c r="G13" s="169"/>
      <c r="H13" s="169"/>
      <c r="I13" s="32">
        <v>349000</v>
      </c>
      <c r="J13" s="32">
        <f t="shared" si="0"/>
        <v>279200</v>
      </c>
    </row>
    <row r="14" spans="1:10" x14ac:dyDescent="0.2">
      <c r="A14" s="9"/>
      <c r="B14" s="128"/>
      <c r="C14" s="128"/>
      <c r="D14" s="128"/>
      <c r="E14" s="128"/>
      <c r="F14" s="12"/>
      <c r="G14" s="169"/>
      <c r="H14" s="169"/>
      <c r="I14" s="32"/>
      <c r="J14" s="32"/>
    </row>
    <row r="15" spans="1:10" x14ac:dyDescent="0.2">
      <c r="A15" s="13"/>
      <c r="B15" s="13"/>
      <c r="C15" s="13"/>
      <c r="D15" s="13"/>
      <c r="E15" s="13"/>
      <c r="F15" s="13"/>
      <c r="G15" s="13"/>
      <c r="H15" s="13" t="s">
        <v>33</v>
      </c>
      <c r="I15" s="33">
        <f>SUM(I6:I14)</f>
        <v>2184428.33</v>
      </c>
      <c r="J15" s="33">
        <f>SUM(J6:J14)</f>
        <v>1747542.6640000001</v>
      </c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131" t="s">
        <v>34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x14ac:dyDescent="0.2">
      <c r="A18" s="169" t="s">
        <v>23</v>
      </c>
      <c r="B18" s="169" t="s">
        <v>35</v>
      </c>
      <c r="C18" s="169"/>
      <c r="D18" s="169" t="s">
        <v>36</v>
      </c>
      <c r="E18" s="169" t="s">
        <v>37</v>
      </c>
      <c r="F18" s="169"/>
      <c r="G18" s="169" t="s">
        <v>38</v>
      </c>
      <c r="H18" s="169"/>
      <c r="I18" s="169" t="s">
        <v>39</v>
      </c>
      <c r="J18" s="169"/>
    </row>
    <row r="19" spans="1:10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x14ac:dyDescent="0.2">
      <c r="A20" s="19">
        <v>1</v>
      </c>
      <c r="B20" s="137">
        <v>498863</v>
      </c>
      <c r="C20" s="137"/>
      <c r="D20" s="19">
        <v>93989</v>
      </c>
      <c r="E20" s="303">
        <v>43033</v>
      </c>
      <c r="F20" s="228"/>
      <c r="G20" s="141" t="s">
        <v>1112</v>
      </c>
      <c r="H20" s="318"/>
      <c r="I20" s="138">
        <v>64432.59</v>
      </c>
      <c r="J20" s="138"/>
    </row>
    <row r="21" spans="1:10" x14ac:dyDescent="0.2">
      <c r="A21" s="19">
        <v>2</v>
      </c>
      <c r="B21" s="137"/>
      <c r="C21" s="137"/>
      <c r="D21" s="19">
        <v>93984</v>
      </c>
      <c r="E21" s="196">
        <v>43203</v>
      </c>
      <c r="F21" s="137"/>
      <c r="G21" s="137" t="s">
        <v>1052</v>
      </c>
      <c r="H21" s="137"/>
      <c r="I21" s="138">
        <v>79528.08</v>
      </c>
      <c r="J21" s="138"/>
    </row>
    <row r="22" spans="1:10" x14ac:dyDescent="0.2">
      <c r="A22" s="19">
        <v>3</v>
      </c>
      <c r="B22" s="137"/>
      <c r="C22" s="137"/>
      <c r="D22" s="19">
        <v>93985</v>
      </c>
      <c r="E22" s="196">
        <v>43203</v>
      </c>
      <c r="F22" s="137"/>
      <c r="G22" s="164" t="s">
        <v>1053</v>
      </c>
      <c r="H22" s="165"/>
      <c r="I22" s="138">
        <v>71855.83</v>
      </c>
      <c r="J22" s="138"/>
    </row>
    <row r="23" spans="1:10" x14ac:dyDescent="0.2">
      <c r="A23" s="19">
        <v>4</v>
      </c>
      <c r="B23" s="137"/>
      <c r="C23" s="137"/>
      <c r="D23" s="19">
        <v>92742</v>
      </c>
      <c r="E23" s="137" t="s">
        <v>1054</v>
      </c>
      <c r="F23" s="137"/>
      <c r="G23" s="137"/>
      <c r="H23" s="137"/>
      <c r="I23" s="138">
        <v>8099.2</v>
      </c>
      <c r="J23" s="138"/>
    </row>
    <row r="24" spans="1:10" x14ac:dyDescent="0.2">
      <c r="A24" s="19">
        <v>5</v>
      </c>
      <c r="B24" s="137"/>
      <c r="C24" s="137"/>
      <c r="D24" s="19">
        <v>98668</v>
      </c>
      <c r="E24" s="137" t="s">
        <v>1161</v>
      </c>
      <c r="F24" s="137"/>
      <c r="G24" s="137"/>
      <c r="H24" s="137"/>
      <c r="I24" s="138">
        <v>158976</v>
      </c>
      <c r="J24" s="138"/>
    </row>
    <row r="25" spans="1:10" x14ac:dyDescent="0.2">
      <c r="A25" s="82"/>
      <c r="B25" s="198"/>
      <c r="C25" s="198"/>
      <c r="D25" s="82">
        <v>103780</v>
      </c>
      <c r="E25" s="198" t="s">
        <v>1334</v>
      </c>
      <c r="F25" s="198"/>
      <c r="G25" s="198"/>
      <c r="H25" s="198"/>
      <c r="I25" s="199">
        <v>104400</v>
      </c>
      <c r="J25" s="199"/>
    </row>
    <row r="26" spans="1:10" x14ac:dyDescent="0.2">
      <c r="A26" s="82"/>
      <c r="B26" s="198"/>
      <c r="C26" s="198"/>
      <c r="D26" s="82">
        <v>106538</v>
      </c>
      <c r="E26" s="198" t="s">
        <v>1341</v>
      </c>
      <c r="F26" s="198"/>
      <c r="G26" s="198"/>
      <c r="H26" s="198"/>
      <c r="I26" s="199">
        <v>121650</v>
      </c>
      <c r="J26" s="199"/>
    </row>
    <row r="27" spans="1:10" x14ac:dyDescent="0.2">
      <c r="A27" s="82"/>
      <c r="B27" s="198"/>
      <c r="C27" s="198"/>
      <c r="D27" s="82">
        <v>113800</v>
      </c>
      <c r="E27" s="198" t="s">
        <v>1422</v>
      </c>
      <c r="F27" s="198"/>
      <c r="G27" s="198"/>
      <c r="H27" s="198"/>
      <c r="I27" s="199">
        <v>165150</v>
      </c>
      <c r="J27" s="199"/>
    </row>
    <row r="28" spans="1:10" x14ac:dyDescent="0.2">
      <c r="A28" s="82"/>
      <c r="B28" s="198"/>
      <c r="C28" s="198"/>
      <c r="D28" s="82">
        <v>110984</v>
      </c>
      <c r="E28" s="198" t="s">
        <v>1423</v>
      </c>
      <c r="F28" s="198"/>
      <c r="G28" s="198"/>
      <c r="H28" s="198"/>
      <c r="I28" s="199">
        <v>165150</v>
      </c>
      <c r="J28" s="199"/>
    </row>
    <row r="29" spans="1:10" x14ac:dyDescent="0.2">
      <c r="A29" s="9"/>
      <c r="B29" s="128"/>
      <c r="C29" s="128"/>
      <c r="D29" s="9"/>
      <c r="E29" s="128"/>
      <c r="F29" s="128"/>
      <c r="G29" s="128"/>
      <c r="H29" s="128"/>
      <c r="I29" s="136"/>
      <c r="J29" s="136"/>
    </row>
    <row r="30" spans="1:10" x14ac:dyDescent="0.2">
      <c r="A30" s="9"/>
      <c r="B30" s="128"/>
      <c r="C30" s="128"/>
      <c r="D30" s="9"/>
      <c r="E30" s="128"/>
      <c r="F30" s="128"/>
      <c r="G30" s="128"/>
      <c r="H30" s="128"/>
      <c r="I30" s="136"/>
      <c r="J30" s="136"/>
    </row>
    <row r="31" spans="1:10" ht="13.5" thickBot="1" x14ac:dyDescent="0.25">
      <c r="A31" s="9"/>
      <c r="B31" s="128"/>
      <c r="C31" s="128"/>
      <c r="D31" s="9"/>
      <c r="E31" s="128"/>
      <c r="F31" s="128"/>
      <c r="G31" s="128"/>
      <c r="H31" s="128"/>
      <c r="I31" s="226"/>
      <c r="J31" s="226"/>
    </row>
    <row r="32" spans="1:10" ht="13.5" thickTop="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140">
        <f>SUM(I20:J31)</f>
        <v>939241.7</v>
      </c>
      <c r="J32" s="140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5" t="s">
        <v>46</v>
      </c>
      <c r="B34" s="16"/>
      <c r="C34" s="16"/>
      <c r="D34" s="16"/>
      <c r="E34" s="16"/>
      <c r="F34" s="16"/>
      <c r="G34" s="16"/>
      <c r="H34" s="16"/>
      <c r="I34" s="149" t="s">
        <v>47</v>
      </c>
      <c r="J34" s="150"/>
    </row>
    <row r="35" spans="1:10" x14ac:dyDescent="0.2">
      <c r="A35" s="144" t="s">
        <v>48</v>
      </c>
      <c r="B35" s="144"/>
      <c r="C35" s="144"/>
      <c r="D35" s="144"/>
      <c r="E35" s="144"/>
      <c r="F35" s="144"/>
      <c r="G35" s="144"/>
      <c r="H35" s="144"/>
      <c r="I35" s="148">
        <f>I15*80%</f>
        <v>1747542.6640000001</v>
      </c>
      <c r="J35" s="148"/>
    </row>
    <row r="36" spans="1:10" x14ac:dyDescent="0.2">
      <c r="A36" s="231" t="s">
        <v>1160</v>
      </c>
      <c r="B36" s="144"/>
      <c r="C36" s="144"/>
      <c r="D36" s="144"/>
      <c r="E36" s="144"/>
      <c r="F36" s="144"/>
      <c r="G36" s="144"/>
      <c r="H36" s="144"/>
      <c r="I36" s="184">
        <v>100000</v>
      </c>
      <c r="J36" s="184"/>
    </row>
    <row r="37" spans="1:10" x14ac:dyDescent="0.2">
      <c r="A37" s="144" t="s">
        <v>49</v>
      </c>
      <c r="B37" s="144"/>
      <c r="C37" s="144"/>
      <c r="D37" s="144"/>
      <c r="E37" s="144"/>
      <c r="F37" s="144"/>
      <c r="G37" s="144"/>
      <c r="H37" s="144"/>
      <c r="I37" s="184">
        <v>0</v>
      </c>
      <c r="J37" s="184"/>
    </row>
    <row r="38" spans="1:10" ht="13.5" thickBot="1" x14ac:dyDescent="0.25">
      <c r="A38" s="144" t="s">
        <v>50</v>
      </c>
      <c r="B38" s="144"/>
      <c r="C38" s="144"/>
      <c r="D38" s="144"/>
      <c r="E38" s="144"/>
      <c r="F38" s="144"/>
      <c r="G38" s="144"/>
      <c r="H38" s="144"/>
      <c r="I38" s="145">
        <f>I32</f>
        <v>939241.7</v>
      </c>
      <c r="J38" s="145"/>
    </row>
    <row r="39" spans="1:10" ht="13.5" thickTop="1" x14ac:dyDescent="0.2">
      <c r="H39" s="18" t="s">
        <v>33</v>
      </c>
      <c r="I39" s="129">
        <f>I35+I36-I38</f>
        <v>908300.96400000015</v>
      </c>
      <c r="J39" s="130"/>
    </row>
    <row r="41" spans="1:10" ht="15" x14ac:dyDescent="0.25">
      <c r="A41" s="131" t="s">
        <v>51</v>
      </c>
      <c r="B41" s="132"/>
      <c r="C41" s="132"/>
      <c r="D41" s="132"/>
      <c r="E41" s="132"/>
      <c r="F41" s="132"/>
      <c r="G41" s="132"/>
      <c r="H41" s="132"/>
      <c r="I41" s="132"/>
      <c r="J41" s="133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</sheetData>
  <mergeCells count="104">
    <mergeCell ref="B30:C30"/>
    <mergeCell ref="E30:F30"/>
    <mergeCell ref="G30:H30"/>
    <mergeCell ref="I30:J30"/>
    <mergeCell ref="A42:J47"/>
    <mergeCell ref="A35:H35"/>
    <mergeCell ref="I35:J35"/>
    <mergeCell ref="A36:H36"/>
    <mergeCell ref="I36:J36"/>
    <mergeCell ref="A38:H38"/>
    <mergeCell ref="I38:J38"/>
    <mergeCell ref="A37:H37"/>
    <mergeCell ref="E31:F31"/>
    <mergeCell ref="G31:H31"/>
    <mergeCell ref="I31:J31"/>
    <mergeCell ref="I32:J32"/>
    <mergeCell ref="I34:J34"/>
    <mergeCell ref="I39:J39"/>
    <mergeCell ref="I37:J37"/>
    <mergeCell ref="B31:C31"/>
    <mergeCell ref="A41:J41"/>
    <mergeCell ref="B25:C25"/>
    <mergeCell ref="E25:F25"/>
    <mergeCell ref="G25:H25"/>
    <mergeCell ref="I25:J25"/>
    <mergeCell ref="B26:C26"/>
    <mergeCell ref="E26:F26"/>
    <mergeCell ref="G26:H26"/>
    <mergeCell ref="I26:J26"/>
    <mergeCell ref="B29:C29"/>
    <mergeCell ref="B27:C27"/>
    <mergeCell ref="E27:F27"/>
    <mergeCell ref="G27:H27"/>
    <mergeCell ref="I27:J27"/>
    <mergeCell ref="B28:C28"/>
    <mergeCell ref="E28:F28"/>
    <mergeCell ref="G28:H28"/>
    <mergeCell ref="I28:J28"/>
    <mergeCell ref="E29:F29"/>
    <mergeCell ref="G29:H29"/>
    <mergeCell ref="I29:J29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4:C14"/>
    <mergeCell ref="D14:E14"/>
    <mergeCell ref="G14:H14"/>
    <mergeCell ref="A17:J17"/>
    <mergeCell ref="A18:A19"/>
    <mergeCell ref="B18:C19"/>
    <mergeCell ref="D18:D19"/>
    <mergeCell ref="E18:F19"/>
    <mergeCell ref="G18:H19"/>
    <mergeCell ref="I18:J19"/>
    <mergeCell ref="G11:H11"/>
    <mergeCell ref="B13:C13"/>
    <mergeCell ref="D13:E13"/>
    <mergeCell ref="G13:H13"/>
    <mergeCell ref="B9:C9"/>
    <mergeCell ref="D9:E9"/>
    <mergeCell ref="G9:H9"/>
    <mergeCell ref="B10:C10"/>
    <mergeCell ref="D10:E10"/>
    <mergeCell ref="G10:H10"/>
    <mergeCell ref="B12:C12"/>
    <mergeCell ref="D12:E12"/>
    <mergeCell ref="G12:H12"/>
    <mergeCell ref="E20:F20"/>
    <mergeCell ref="B20:C20"/>
    <mergeCell ref="G20:H20"/>
    <mergeCell ref="I20:J20"/>
    <mergeCell ref="A3:J3"/>
    <mergeCell ref="A4:A5"/>
    <mergeCell ref="B4:E4"/>
    <mergeCell ref="F4:F5"/>
    <mergeCell ref="G4:H5"/>
    <mergeCell ref="I4:I5"/>
    <mergeCell ref="B7:C7"/>
    <mergeCell ref="D7:E7"/>
    <mergeCell ref="G7:H7"/>
    <mergeCell ref="B8:C8"/>
    <mergeCell ref="D8:E8"/>
    <mergeCell ref="G8:H8"/>
    <mergeCell ref="J4:J5"/>
    <mergeCell ref="B5:C5"/>
    <mergeCell ref="D5:E5"/>
    <mergeCell ref="B6:C6"/>
    <mergeCell ref="D6:E6"/>
    <mergeCell ref="G6:H6"/>
    <mergeCell ref="B11:C11"/>
    <mergeCell ref="D11:E11"/>
  </mergeCells>
  <pageMargins left="0.7" right="0.7" top="0.75" bottom="0.75" header="0.3" footer="0.3"/>
  <pageSetup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8">
    <pageSetUpPr fitToPage="1"/>
  </sheetPr>
  <dimension ref="A1:J45"/>
  <sheetViews>
    <sheetView topLeftCell="A16" workbookViewId="0">
      <selection activeCell="M42" activeCellId="1" sqref="I38 M42"/>
    </sheetView>
  </sheetViews>
  <sheetFormatPr defaultRowHeight="12.75" x14ac:dyDescent="0.2"/>
  <cols>
    <col min="6" max="6" width="11.42578125" customWidth="1"/>
    <col min="9" max="9" width="12.71093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866</v>
      </c>
      <c r="B2" s="6"/>
      <c r="C2" s="6"/>
      <c r="D2" s="6"/>
      <c r="E2" s="6"/>
      <c r="F2" s="6"/>
      <c r="G2" s="6"/>
      <c r="H2" s="6"/>
      <c r="I2" s="6"/>
      <c r="J2" s="7" t="s">
        <v>715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4130413</v>
      </c>
      <c r="C6" s="128"/>
      <c r="D6" s="128">
        <v>4130480</v>
      </c>
      <c r="E6" s="128"/>
      <c r="F6" s="12">
        <v>40332</v>
      </c>
      <c r="G6" s="169"/>
      <c r="H6" s="169"/>
      <c r="I6" s="32">
        <v>489171</v>
      </c>
      <c r="J6" s="32">
        <f>I6*0.8</f>
        <v>391336.80000000005</v>
      </c>
    </row>
    <row r="7" spans="1:10" x14ac:dyDescent="0.2">
      <c r="A7" s="9">
        <v>2</v>
      </c>
      <c r="B7" s="128">
        <v>4131975</v>
      </c>
      <c r="C7" s="128"/>
      <c r="D7" s="128">
        <v>4131976</v>
      </c>
      <c r="E7" s="128"/>
      <c r="F7" s="12">
        <v>42912</v>
      </c>
      <c r="G7" s="169"/>
      <c r="H7" s="169"/>
      <c r="I7" s="32">
        <v>351821.2</v>
      </c>
      <c r="J7" s="32">
        <f>I7*0.8</f>
        <v>281456.96000000002</v>
      </c>
    </row>
    <row r="8" spans="1:10" x14ac:dyDescent="0.2">
      <c r="A8" s="9">
        <v>3</v>
      </c>
      <c r="B8" s="128">
        <v>4131487</v>
      </c>
      <c r="C8" s="128"/>
      <c r="D8" s="128">
        <v>4131488</v>
      </c>
      <c r="E8" s="128"/>
      <c r="F8" s="12">
        <v>43249</v>
      </c>
      <c r="G8" s="169"/>
      <c r="H8" s="169"/>
      <c r="I8" s="32">
        <v>406766.43</v>
      </c>
      <c r="J8" s="32">
        <f>I8*0.8</f>
        <v>325413.14400000003</v>
      </c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1247758.6299999999</v>
      </c>
      <c r="J14" s="33">
        <f>SUM(J6:J13)</f>
        <v>998206.9040000001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9"/>
      <c r="B19" s="137"/>
      <c r="C19" s="137"/>
      <c r="D19" s="19">
        <v>87270</v>
      </c>
      <c r="E19" s="137" t="s">
        <v>864</v>
      </c>
      <c r="F19" s="137"/>
      <c r="G19" s="137"/>
      <c r="H19" s="137"/>
      <c r="I19" s="138">
        <v>39234.6</v>
      </c>
      <c r="J19" s="138"/>
    </row>
    <row r="20" spans="1:10" x14ac:dyDescent="0.2">
      <c r="A20" s="19"/>
      <c r="B20" s="137">
        <v>516382</v>
      </c>
      <c r="C20" s="137"/>
      <c r="D20" s="19">
        <v>85300</v>
      </c>
      <c r="E20" s="303">
        <v>42073</v>
      </c>
      <c r="F20" s="228"/>
      <c r="G20" s="137" t="s">
        <v>878</v>
      </c>
      <c r="H20" s="137"/>
      <c r="I20" s="138">
        <v>107407.46</v>
      </c>
      <c r="J20" s="138"/>
    </row>
    <row r="21" spans="1:10" x14ac:dyDescent="0.2">
      <c r="A21" s="19"/>
      <c r="B21" s="137"/>
      <c r="C21" s="137"/>
      <c r="D21" s="19">
        <v>86475</v>
      </c>
      <c r="E21" s="196">
        <v>43658</v>
      </c>
      <c r="F21" s="137"/>
      <c r="G21" s="137" t="s">
        <v>879</v>
      </c>
      <c r="H21" s="137"/>
      <c r="I21" s="138">
        <v>1675.41</v>
      </c>
      <c r="J21" s="138"/>
    </row>
    <row r="22" spans="1:10" x14ac:dyDescent="0.2">
      <c r="A22" s="19"/>
      <c r="B22" s="137"/>
      <c r="C22" s="137"/>
      <c r="D22" s="19">
        <v>89469</v>
      </c>
      <c r="E22" s="196">
        <v>43214</v>
      </c>
      <c r="F22" s="137"/>
      <c r="G22" s="137" t="s">
        <v>1107</v>
      </c>
      <c r="H22" s="137"/>
      <c r="I22" s="138">
        <v>2364.56</v>
      </c>
      <c r="J22" s="138"/>
    </row>
    <row r="23" spans="1:10" x14ac:dyDescent="0.2">
      <c r="A23" s="19"/>
      <c r="B23" s="137"/>
      <c r="C23" s="137"/>
      <c r="D23" s="19">
        <v>89323</v>
      </c>
      <c r="E23" s="137"/>
      <c r="F23" s="137"/>
      <c r="G23" s="137" t="s">
        <v>906</v>
      </c>
      <c r="H23" s="137"/>
      <c r="I23" s="138">
        <v>291061.28999999998</v>
      </c>
      <c r="J23" s="138"/>
    </row>
    <row r="24" spans="1:10" x14ac:dyDescent="0.2">
      <c r="A24" s="82"/>
      <c r="B24" s="198"/>
      <c r="C24" s="198"/>
      <c r="D24" s="82"/>
      <c r="E24" s="198"/>
      <c r="F24" s="198"/>
      <c r="G24" s="198"/>
      <c r="H24" s="198"/>
      <c r="I24" s="199"/>
      <c r="J24" s="199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441743.31999999995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998206.90399999998</v>
      </c>
      <c r="J31" s="148"/>
    </row>
    <row r="32" spans="1:10" x14ac:dyDescent="0.2">
      <c r="A32" s="144" t="s">
        <v>49</v>
      </c>
      <c r="B32" s="144"/>
      <c r="C32" s="144"/>
      <c r="D32" s="144"/>
      <c r="E32" s="144"/>
      <c r="F32" s="144"/>
      <c r="G32" s="144"/>
      <c r="H32" s="144"/>
      <c r="I32" s="184">
        <v>0</v>
      </c>
      <c r="J32" s="184"/>
    </row>
    <row r="33" spans="1:10" x14ac:dyDescent="0.2">
      <c r="A33" s="134" t="s">
        <v>1289</v>
      </c>
      <c r="B33" s="134"/>
      <c r="C33" s="134"/>
      <c r="D33" s="134"/>
      <c r="E33" s="134"/>
      <c r="F33" s="134"/>
      <c r="G33" s="134"/>
      <c r="H33" s="134"/>
      <c r="I33" s="135">
        <v>-119790</v>
      </c>
      <c r="J33" s="135"/>
    </row>
    <row r="34" spans="1:10" x14ac:dyDescent="0.2">
      <c r="A34" s="134" t="s">
        <v>1401</v>
      </c>
      <c r="B34" s="134"/>
      <c r="C34" s="134"/>
      <c r="D34" s="134"/>
      <c r="E34" s="134"/>
      <c r="F34" s="134"/>
      <c r="G34" s="134"/>
      <c r="H34" s="134"/>
      <c r="I34" s="135">
        <v>-306715.5</v>
      </c>
      <c r="J34" s="135"/>
    </row>
    <row r="35" spans="1:10" x14ac:dyDescent="0.2">
      <c r="A35" s="134" t="s">
        <v>1583</v>
      </c>
      <c r="B35" s="134"/>
      <c r="C35" s="134"/>
      <c r="D35" s="134"/>
      <c r="E35" s="134"/>
      <c r="F35" s="134"/>
      <c r="G35" s="134"/>
      <c r="H35" s="134"/>
      <c r="I35" s="135">
        <v>-129958.08</v>
      </c>
      <c r="J35" s="135"/>
    </row>
    <row r="36" spans="1:10" ht="13.5" thickBot="1" x14ac:dyDescent="0.25">
      <c r="A36" s="144" t="s">
        <v>50</v>
      </c>
      <c r="B36" s="144"/>
      <c r="C36" s="144"/>
      <c r="D36" s="144"/>
      <c r="E36" s="144"/>
      <c r="F36" s="144"/>
      <c r="G36" s="144"/>
      <c r="H36" s="144"/>
      <c r="I36" s="145">
        <f>I28</f>
        <v>441743.31999999995</v>
      </c>
      <c r="J36" s="145"/>
    </row>
    <row r="37" spans="1:10" ht="13.5" thickTop="1" x14ac:dyDescent="0.2">
      <c r="H37" s="18" t="s">
        <v>33</v>
      </c>
      <c r="I37" s="129">
        <f>I31+I32+I33+I34+I35-I36</f>
        <v>4.0000000153668225E-3</v>
      </c>
      <c r="J37" s="130"/>
    </row>
    <row r="39" spans="1:10" ht="15" x14ac:dyDescent="0.25">
      <c r="A39" s="131" t="s">
        <v>51</v>
      </c>
      <c r="B39" s="132"/>
      <c r="C39" s="132"/>
      <c r="D39" s="132"/>
      <c r="E39" s="132"/>
      <c r="F39" s="132"/>
      <c r="G39" s="132"/>
      <c r="H39" s="132"/>
      <c r="I39" s="132"/>
      <c r="J39" s="133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</sheetData>
  <mergeCells count="93">
    <mergeCell ref="B6:C6"/>
    <mergeCell ref="D6:E6"/>
    <mergeCell ref="G6:H6"/>
    <mergeCell ref="B7:C7"/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A16:J16"/>
    <mergeCell ref="A17:A18"/>
    <mergeCell ref="B17:C18"/>
    <mergeCell ref="D17:D18"/>
    <mergeCell ref="E17:F18"/>
    <mergeCell ref="G17:H18"/>
    <mergeCell ref="I17:J18"/>
    <mergeCell ref="B20:C20"/>
    <mergeCell ref="G20:H20"/>
    <mergeCell ref="I20:J20"/>
    <mergeCell ref="B19:C19"/>
    <mergeCell ref="E19:F19"/>
    <mergeCell ref="G19:H19"/>
    <mergeCell ref="I19:J19"/>
    <mergeCell ref="E20:F20"/>
    <mergeCell ref="B26:C26"/>
    <mergeCell ref="E26:F26"/>
    <mergeCell ref="G26:H26"/>
    <mergeCell ref="I26:J26"/>
    <mergeCell ref="B25:C25"/>
    <mergeCell ref="E25:F25"/>
    <mergeCell ref="G25:H25"/>
    <mergeCell ref="I25:J25"/>
    <mergeCell ref="I31:J31"/>
    <mergeCell ref="A33:H33"/>
    <mergeCell ref="A40:J45"/>
    <mergeCell ref="A32:H32"/>
    <mergeCell ref="I32:J32"/>
    <mergeCell ref="A36:H36"/>
    <mergeCell ref="I36:J36"/>
    <mergeCell ref="A39:J39"/>
    <mergeCell ref="A34:H34"/>
    <mergeCell ref="I34:J34"/>
    <mergeCell ref="I33:J33"/>
    <mergeCell ref="A35:H35"/>
    <mergeCell ref="I35:J35"/>
    <mergeCell ref="B23:C23"/>
    <mergeCell ref="E23:F23"/>
    <mergeCell ref="G23:H23"/>
    <mergeCell ref="I23:J23"/>
    <mergeCell ref="I37:J37"/>
    <mergeCell ref="B27:C27"/>
    <mergeCell ref="E27:F27"/>
    <mergeCell ref="G27:H27"/>
    <mergeCell ref="I27:J27"/>
    <mergeCell ref="B24:C24"/>
    <mergeCell ref="E24:F24"/>
    <mergeCell ref="G24:H24"/>
    <mergeCell ref="I24:J24"/>
    <mergeCell ref="I28:J28"/>
    <mergeCell ref="I30:J30"/>
    <mergeCell ref="A31:H31"/>
    <mergeCell ref="G22:H22"/>
    <mergeCell ref="I22:J22"/>
    <mergeCell ref="B21:C21"/>
    <mergeCell ref="E21:F21"/>
    <mergeCell ref="G21:H21"/>
    <mergeCell ref="I21:J21"/>
    <mergeCell ref="B22:C22"/>
    <mergeCell ref="E22:F22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29">
    <pageSetUpPr fitToPage="1"/>
  </sheetPr>
  <dimension ref="A1:K85"/>
  <sheetViews>
    <sheetView topLeftCell="A46" workbookViewId="0">
      <selection activeCell="K62" sqref="K62"/>
    </sheetView>
  </sheetViews>
  <sheetFormatPr defaultRowHeight="12.75" x14ac:dyDescent="0.2"/>
  <cols>
    <col min="4" max="4" width="9.140625" customWidth="1"/>
    <col min="6" max="6" width="21.140625" customWidth="1"/>
    <col min="8" max="8" width="11.7109375" customWidth="1"/>
    <col min="9" max="9" width="12.140625" customWidth="1"/>
    <col min="10" max="10" width="12.85546875" bestFit="1" customWidth="1"/>
    <col min="11" max="11" width="10.1406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435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4234030</v>
      </c>
      <c r="C6" s="128"/>
      <c r="D6" s="128">
        <v>4234006</v>
      </c>
      <c r="E6" s="128"/>
      <c r="F6" s="12">
        <v>33634</v>
      </c>
      <c r="G6" s="169" t="s">
        <v>436</v>
      </c>
      <c r="H6" s="169"/>
      <c r="I6" s="47">
        <v>110713</v>
      </c>
      <c r="J6" s="47">
        <f>I6*0.8</f>
        <v>88570.400000000009</v>
      </c>
    </row>
    <row r="7" spans="1:10" x14ac:dyDescent="0.2">
      <c r="A7" s="9">
        <v>2</v>
      </c>
      <c r="B7" s="128">
        <v>4232070</v>
      </c>
      <c r="C7" s="128"/>
      <c r="D7" s="128">
        <v>4232062</v>
      </c>
      <c r="E7" s="128"/>
      <c r="F7" s="12">
        <v>35314</v>
      </c>
      <c r="G7" s="169" t="s">
        <v>437</v>
      </c>
      <c r="H7" s="169"/>
      <c r="I7" s="47">
        <v>78830</v>
      </c>
      <c r="J7" s="47">
        <f t="shared" ref="J7:J13" si="0">I7*0.8</f>
        <v>63064</v>
      </c>
    </row>
    <row r="8" spans="1:10" x14ac:dyDescent="0.2">
      <c r="A8" s="9">
        <v>3</v>
      </c>
      <c r="B8" s="128">
        <v>4233743</v>
      </c>
      <c r="C8" s="128"/>
      <c r="D8" s="128">
        <v>4237435</v>
      </c>
      <c r="E8" s="128"/>
      <c r="F8" s="12">
        <v>35314</v>
      </c>
      <c r="G8" s="169" t="s">
        <v>438</v>
      </c>
      <c r="H8" s="169"/>
      <c r="I8" s="47">
        <v>100612</v>
      </c>
      <c r="J8" s="47">
        <f t="shared" si="0"/>
        <v>80489.600000000006</v>
      </c>
    </row>
    <row r="9" spans="1:10" x14ac:dyDescent="0.2">
      <c r="A9" s="9">
        <v>4</v>
      </c>
      <c r="B9" s="128">
        <v>4233913</v>
      </c>
      <c r="C9" s="128"/>
      <c r="D9" s="128">
        <v>4233948</v>
      </c>
      <c r="E9" s="128"/>
      <c r="F9" s="12">
        <v>35314</v>
      </c>
      <c r="G9" s="169" t="s">
        <v>439</v>
      </c>
      <c r="H9" s="169"/>
      <c r="I9" s="47">
        <v>183537.54</v>
      </c>
      <c r="J9" s="47">
        <f t="shared" si="0"/>
        <v>146830.03200000001</v>
      </c>
    </row>
    <row r="10" spans="1:10" x14ac:dyDescent="0.2">
      <c r="A10" s="9">
        <v>5</v>
      </c>
      <c r="B10" s="128">
        <v>4236726</v>
      </c>
      <c r="C10" s="128"/>
      <c r="D10" s="128">
        <v>4236777</v>
      </c>
      <c r="E10" s="128"/>
      <c r="F10" s="12">
        <v>35314</v>
      </c>
      <c r="G10" s="169" t="s">
        <v>440</v>
      </c>
      <c r="H10" s="169"/>
      <c r="I10" s="47">
        <v>52560</v>
      </c>
      <c r="J10" s="47">
        <f t="shared" si="0"/>
        <v>42048</v>
      </c>
    </row>
    <row r="11" spans="1:10" x14ac:dyDescent="0.2">
      <c r="A11" s="9">
        <v>6</v>
      </c>
      <c r="B11" s="128">
        <v>4236181</v>
      </c>
      <c r="C11" s="128"/>
      <c r="D11" s="128">
        <v>4236149</v>
      </c>
      <c r="E11" s="128"/>
      <c r="F11" s="12">
        <v>35314</v>
      </c>
      <c r="G11" s="169" t="s">
        <v>441</v>
      </c>
      <c r="H11" s="169"/>
      <c r="I11" s="47">
        <v>60139.66</v>
      </c>
      <c r="J11" s="47">
        <f t="shared" si="0"/>
        <v>48111.728000000003</v>
      </c>
    </row>
    <row r="12" spans="1:10" x14ac:dyDescent="0.2">
      <c r="A12" s="9">
        <v>7</v>
      </c>
      <c r="B12" s="128">
        <v>4235045</v>
      </c>
      <c r="C12" s="128"/>
      <c r="D12" s="128"/>
      <c r="E12" s="128"/>
      <c r="F12" s="12"/>
      <c r="G12" s="169" t="s">
        <v>442</v>
      </c>
      <c r="H12" s="169"/>
      <c r="I12" s="47">
        <v>0</v>
      </c>
      <c r="J12" s="47">
        <f t="shared" si="0"/>
        <v>0</v>
      </c>
    </row>
    <row r="13" spans="1:10" x14ac:dyDescent="0.2">
      <c r="A13" s="9">
        <v>8</v>
      </c>
      <c r="B13" s="128">
        <v>4237099</v>
      </c>
      <c r="C13" s="128"/>
      <c r="D13" s="128"/>
      <c r="E13" s="128"/>
      <c r="F13" s="12">
        <v>35314</v>
      </c>
      <c r="G13" s="169" t="s">
        <v>443</v>
      </c>
      <c r="H13" s="169"/>
      <c r="I13" s="47">
        <v>49789</v>
      </c>
      <c r="J13" s="47">
        <f t="shared" si="0"/>
        <v>39831.200000000004</v>
      </c>
    </row>
    <row r="14" spans="1:10" x14ac:dyDescent="0.2">
      <c r="A14" s="9">
        <v>9</v>
      </c>
      <c r="B14" s="128">
        <v>4237153</v>
      </c>
      <c r="C14" s="128"/>
      <c r="D14" s="128"/>
      <c r="E14" s="128"/>
      <c r="F14" s="12"/>
      <c r="G14" s="169" t="s">
        <v>444</v>
      </c>
      <c r="H14" s="169"/>
      <c r="I14" s="47">
        <v>0</v>
      </c>
      <c r="J14" s="47">
        <f t="shared" ref="J14:J30" si="1">I14*0.8</f>
        <v>0</v>
      </c>
    </row>
    <row r="15" spans="1:10" x14ac:dyDescent="0.2">
      <c r="A15" s="9">
        <v>10</v>
      </c>
      <c r="B15" s="128">
        <v>4236386</v>
      </c>
      <c r="C15" s="128"/>
      <c r="D15" s="128"/>
      <c r="E15" s="128"/>
      <c r="F15" s="12">
        <v>35314</v>
      </c>
      <c r="G15" s="169" t="s">
        <v>445</v>
      </c>
      <c r="H15" s="169"/>
      <c r="I15" s="47">
        <v>106678.38</v>
      </c>
      <c r="J15" s="47">
        <f t="shared" si="1"/>
        <v>85342.704000000012</v>
      </c>
    </row>
    <row r="16" spans="1:10" x14ac:dyDescent="0.2">
      <c r="A16" s="9">
        <v>11</v>
      </c>
      <c r="B16" s="128">
        <v>4234081</v>
      </c>
      <c r="C16" s="128"/>
      <c r="D16" s="128"/>
      <c r="E16" s="128"/>
      <c r="F16" s="12"/>
      <c r="G16" s="169" t="s">
        <v>446</v>
      </c>
      <c r="H16" s="169"/>
      <c r="I16" s="47">
        <v>0</v>
      </c>
      <c r="J16" s="47">
        <f t="shared" si="1"/>
        <v>0</v>
      </c>
    </row>
    <row r="17" spans="1:11" x14ac:dyDescent="0.2">
      <c r="A17" s="9">
        <v>12</v>
      </c>
      <c r="B17" s="128">
        <v>4231430</v>
      </c>
      <c r="C17" s="128"/>
      <c r="D17" s="128"/>
      <c r="E17" s="128"/>
      <c r="F17" s="12"/>
      <c r="G17" s="169" t="s">
        <v>447</v>
      </c>
      <c r="H17" s="169"/>
      <c r="I17" s="47">
        <v>0</v>
      </c>
      <c r="J17" s="47">
        <f t="shared" si="1"/>
        <v>0</v>
      </c>
      <c r="K17" s="109"/>
    </row>
    <row r="18" spans="1:11" x14ac:dyDescent="0.2">
      <c r="A18" s="38">
        <v>13</v>
      </c>
      <c r="B18" s="227">
        <v>4232208</v>
      </c>
      <c r="C18" s="228"/>
      <c r="D18" s="227">
        <v>4232313</v>
      </c>
      <c r="E18" s="228"/>
      <c r="F18" s="46">
        <v>40252</v>
      </c>
      <c r="G18" s="227"/>
      <c r="H18" s="228"/>
      <c r="I18" s="48">
        <v>63170.61</v>
      </c>
      <c r="J18" s="48">
        <f t="shared" si="1"/>
        <v>50536.488000000005</v>
      </c>
    </row>
    <row r="19" spans="1:11" x14ac:dyDescent="0.2">
      <c r="A19" s="38">
        <v>14</v>
      </c>
      <c r="B19" s="227">
        <v>4234529</v>
      </c>
      <c r="C19" s="228"/>
      <c r="D19" s="227">
        <v>4234588</v>
      </c>
      <c r="E19" s="228"/>
      <c r="F19" s="46">
        <v>40252</v>
      </c>
      <c r="G19" s="227"/>
      <c r="H19" s="228"/>
      <c r="I19" s="48">
        <v>172929.6</v>
      </c>
      <c r="J19" s="48">
        <f t="shared" si="1"/>
        <v>138343.68000000002</v>
      </c>
    </row>
    <row r="20" spans="1:11" x14ac:dyDescent="0.2">
      <c r="A20" s="38">
        <v>15</v>
      </c>
      <c r="B20" s="227">
        <v>4234782</v>
      </c>
      <c r="C20" s="228"/>
      <c r="D20" s="227">
        <v>4234839</v>
      </c>
      <c r="E20" s="228"/>
      <c r="F20" s="46">
        <v>40275</v>
      </c>
      <c r="G20" s="227"/>
      <c r="H20" s="228"/>
      <c r="I20" s="48">
        <v>151250.63</v>
      </c>
      <c r="J20" s="48">
        <f t="shared" si="1"/>
        <v>121000.50400000002</v>
      </c>
    </row>
    <row r="21" spans="1:11" x14ac:dyDescent="0.2">
      <c r="A21" s="38">
        <v>16</v>
      </c>
      <c r="B21" s="227">
        <v>4233425</v>
      </c>
      <c r="C21" s="228"/>
      <c r="D21" s="227">
        <v>4233484</v>
      </c>
      <c r="E21" s="228"/>
      <c r="F21" s="46">
        <v>40275</v>
      </c>
      <c r="G21" s="227"/>
      <c r="H21" s="228"/>
      <c r="I21" s="48">
        <v>121024.79</v>
      </c>
      <c r="J21" s="48">
        <f t="shared" si="1"/>
        <v>96819.831999999995</v>
      </c>
    </row>
    <row r="22" spans="1:11" x14ac:dyDescent="0.2">
      <c r="A22" s="38">
        <v>17</v>
      </c>
      <c r="B22" s="227">
        <v>4234766</v>
      </c>
      <c r="C22" s="228"/>
      <c r="D22" s="227">
        <v>4234812</v>
      </c>
      <c r="E22" s="228"/>
      <c r="F22" s="46">
        <v>40275</v>
      </c>
      <c r="G22" s="227"/>
      <c r="H22" s="228"/>
      <c r="I22" s="48">
        <v>122743.36</v>
      </c>
      <c r="J22" s="48">
        <f t="shared" si="1"/>
        <v>98194.688000000009</v>
      </c>
    </row>
    <row r="23" spans="1:11" x14ac:dyDescent="0.2">
      <c r="A23" s="9">
        <v>18</v>
      </c>
      <c r="B23" s="192">
        <v>4233530</v>
      </c>
      <c r="C23" s="204"/>
      <c r="D23" s="192">
        <v>4233573</v>
      </c>
      <c r="E23" s="204"/>
      <c r="F23" s="12">
        <v>40276</v>
      </c>
      <c r="G23" s="179" t="s">
        <v>893</v>
      </c>
      <c r="H23" s="181"/>
      <c r="I23" s="39">
        <v>108090.3</v>
      </c>
      <c r="J23" s="48">
        <f t="shared" si="1"/>
        <v>86472.24</v>
      </c>
    </row>
    <row r="24" spans="1:11" x14ac:dyDescent="0.2">
      <c r="A24" s="9">
        <v>19</v>
      </c>
      <c r="B24" s="192">
        <v>4232461</v>
      </c>
      <c r="C24" s="204"/>
      <c r="D24" s="192">
        <v>4232534</v>
      </c>
      <c r="E24" s="204"/>
      <c r="F24" s="12">
        <v>40486</v>
      </c>
      <c r="G24" s="179"/>
      <c r="H24" s="181"/>
      <c r="I24" s="39">
        <v>94272.56</v>
      </c>
      <c r="J24" s="48">
        <f t="shared" si="1"/>
        <v>75418.047999999995</v>
      </c>
    </row>
    <row r="25" spans="1:11" x14ac:dyDescent="0.2">
      <c r="A25" s="9">
        <v>20</v>
      </c>
      <c r="B25" s="192">
        <v>4233522</v>
      </c>
      <c r="C25" s="204"/>
      <c r="D25" s="192">
        <v>4233549</v>
      </c>
      <c r="E25" s="204"/>
      <c r="F25" s="12">
        <v>40486</v>
      </c>
      <c r="G25" s="179"/>
      <c r="H25" s="181"/>
      <c r="I25" s="39">
        <v>149151.57</v>
      </c>
      <c r="J25" s="48">
        <f t="shared" si="1"/>
        <v>119321.25600000001</v>
      </c>
    </row>
    <row r="26" spans="1:11" x14ac:dyDescent="0.2">
      <c r="A26" s="38">
        <v>21</v>
      </c>
      <c r="B26" s="227">
        <v>4232119</v>
      </c>
      <c r="C26" s="228"/>
      <c r="D26" s="227"/>
      <c r="E26" s="228"/>
      <c r="F26" s="46">
        <v>41869</v>
      </c>
      <c r="G26" s="227"/>
      <c r="H26" s="228"/>
      <c r="I26" s="48">
        <v>177443.96</v>
      </c>
      <c r="J26" s="48">
        <f t="shared" si="1"/>
        <v>141955.16800000001</v>
      </c>
    </row>
    <row r="27" spans="1:11" x14ac:dyDescent="0.2">
      <c r="A27" s="38">
        <v>22</v>
      </c>
      <c r="B27" s="227">
        <v>4235177</v>
      </c>
      <c r="C27" s="228"/>
      <c r="D27" s="227">
        <v>4230004</v>
      </c>
      <c r="E27" s="228"/>
      <c r="F27" s="46">
        <v>43698</v>
      </c>
      <c r="G27" s="227"/>
      <c r="H27" s="228"/>
      <c r="I27" s="48">
        <v>59625.04</v>
      </c>
      <c r="J27" s="48">
        <f t="shared" si="1"/>
        <v>47700.032000000007</v>
      </c>
    </row>
    <row r="28" spans="1:11" x14ac:dyDescent="0.2">
      <c r="A28" s="38">
        <v>23</v>
      </c>
      <c r="B28" s="227">
        <v>4235126</v>
      </c>
      <c r="C28" s="228"/>
      <c r="D28" s="227">
        <v>4231997</v>
      </c>
      <c r="E28" s="228"/>
      <c r="F28" s="46">
        <v>43698</v>
      </c>
      <c r="G28" s="227"/>
      <c r="H28" s="228"/>
      <c r="I28" s="48">
        <v>39902</v>
      </c>
      <c r="J28" s="48">
        <f t="shared" si="1"/>
        <v>31921.600000000002</v>
      </c>
    </row>
    <row r="29" spans="1:11" x14ac:dyDescent="0.2">
      <c r="A29" s="38">
        <v>24</v>
      </c>
      <c r="B29" s="227">
        <v>4232577</v>
      </c>
      <c r="C29" s="228"/>
      <c r="D29" s="227"/>
      <c r="E29" s="228"/>
      <c r="F29" s="46">
        <v>44218</v>
      </c>
      <c r="G29" s="227" t="s">
        <v>1435</v>
      </c>
      <c r="H29" s="228"/>
      <c r="I29" s="48">
        <v>873513.61</v>
      </c>
      <c r="J29" s="48">
        <f t="shared" si="1"/>
        <v>698810.88800000004</v>
      </c>
    </row>
    <row r="30" spans="1:11" x14ac:dyDescent="0.2">
      <c r="A30" s="38">
        <v>25</v>
      </c>
      <c r="B30" s="227">
        <v>4237269</v>
      </c>
      <c r="C30" s="228"/>
      <c r="D30" s="227">
        <v>4237270</v>
      </c>
      <c r="E30" s="228"/>
      <c r="F30" s="46">
        <v>44811</v>
      </c>
      <c r="G30" s="192" t="s">
        <v>1578</v>
      </c>
      <c r="H30" s="228"/>
      <c r="I30" s="48">
        <v>343863.1</v>
      </c>
      <c r="J30" s="48">
        <f t="shared" si="1"/>
        <v>275090.48</v>
      </c>
    </row>
    <row r="31" spans="1:11" x14ac:dyDescent="0.2">
      <c r="A31" s="38">
        <v>26</v>
      </c>
      <c r="B31" s="227"/>
      <c r="C31" s="228"/>
      <c r="D31" s="227"/>
      <c r="E31" s="228"/>
      <c r="F31" s="38"/>
      <c r="G31" s="227"/>
      <c r="H31" s="228"/>
      <c r="I31" s="48"/>
      <c r="J31" s="48"/>
    </row>
    <row r="32" spans="1:11" x14ac:dyDescent="0.2">
      <c r="A32" s="38"/>
      <c r="B32" s="227"/>
      <c r="C32" s="228"/>
      <c r="D32" s="227"/>
      <c r="E32" s="228"/>
      <c r="F32" s="38"/>
      <c r="G32" s="227"/>
      <c r="H32" s="228"/>
      <c r="I32" s="48"/>
      <c r="J32" s="48"/>
    </row>
    <row r="33" spans="1:10" x14ac:dyDescent="0.2">
      <c r="A33" s="13"/>
      <c r="B33" s="13"/>
      <c r="C33" s="13"/>
      <c r="D33" s="13"/>
      <c r="E33" s="13"/>
      <c r="F33" s="13"/>
      <c r="G33" s="13"/>
      <c r="H33" s="13" t="s">
        <v>33</v>
      </c>
      <c r="I33" s="49">
        <f>SUM(I6:I32)</f>
        <v>3219840.7100000004</v>
      </c>
      <c r="J33" s="49">
        <f>SUM(J6:J32)</f>
        <v>2575872.5680000004</v>
      </c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 x14ac:dyDescent="0.25">
      <c r="A35" s="131" t="s">
        <v>34</v>
      </c>
      <c r="B35" s="132"/>
      <c r="C35" s="132"/>
      <c r="D35" s="132"/>
      <c r="E35" s="132"/>
      <c r="F35" s="132"/>
      <c r="G35" s="132"/>
      <c r="H35" s="132"/>
      <c r="I35" s="132"/>
      <c r="J35" s="133"/>
    </row>
    <row r="36" spans="1:10" x14ac:dyDescent="0.2">
      <c r="A36" s="169" t="s">
        <v>23</v>
      </c>
      <c r="B36" s="169" t="s">
        <v>35</v>
      </c>
      <c r="C36" s="169"/>
      <c r="D36" s="169" t="s">
        <v>36</v>
      </c>
      <c r="E36" s="169" t="s">
        <v>37</v>
      </c>
      <c r="F36" s="169"/>
      <c r="G36" s="169" t="s">
        <v>38</v>
      </c>
      <c r="H36" s="169"/>
      <c r="I36" s="169" t="s">
        <v>39</v>
      </c>
      <c r="J36" s="169"/>
    </row>
    <row r="37" spans="1:10" x14ac:dyDescent="0.2">
      <c r="A37" s="169"/>
      <c r="B37" s="169"/>
      <c r="C37" s="169"/>
      <c r="D37" s="169"/>
      <c r="E37" s="169"/>
      <c r="F37" s="169"/>
      <c r="G37" s="169"/>
      <c r="H37" s="169"/>
      <c r="I37" s="169"/>
      <c r="J37" s="169"/>
    </row>
    <row r="38" spans="1:10" x14ac:dyDescent="0.2">
      <c r="A38" s="9">
        <v>1</v>
      </c>
      <c r="B38" s="183" t="s">
        <v>448</v>
      </c>
      <c r="C38" s="128"/>
      <c r="D38" s="9">
        <v>6020</v>
      </c>
      <c r="E38" s="182">
        <v>35096</v>
      </c>
      <c r="F38" s="128"/>
      <c r="G38" s="128">
        <v>4207001</v>
      </c>
      <c r="H38" s="128"/>
      <c r="I38" s="136">
        <v>52812</v>
      </c>
      <c r="J38" s="136"/>
    </row>
    <row r="39" spans="1:10" x14ac:dyDescent="0.2">
      <c r="A39" s="9">
        <v>2</v>
      </c>
      <c r="B39" s="183" t="s">
        <v>449</v>
      </c>
      <c r="C39" s="128"/>
      <c r="D39" s="9">
        <v>6019</v>
      </c>
      <c r="E39" s="182">
        <v>35125</v>
      </c>
      <c r="F39" s="128"/>
      <c r="G39" s="128">
        <v>4208001</v>
      </c>
      <c r="H39" s="128"/>
      <c r="I39" s="136">
        <v>111276</v>
      </c>
      <c r="J39" s="136"/>
    </row>
    <row r="40" spans="1:10" x14ac:dyDescent="0.2">
      <c r="A40" s="9">
        <v>3</v>
      </c>
      <c r="B40" s="183" t="s">
        <v>450</v>
      </c>
      <c r="C40" s="128"/>
      <c r="D40" s="192">
        <v>6014</v>
      </c>
      <c r="E40" s="204"/>
      <c r="F40" s="99">
        <v>36373</v>
      </c>
      <c r="G40" s="128">
        <v>4209001</v>
      </c>
      <c r="H40" s="128"/>
      <c r="I40" s="136">
        <v>136091</v>
      </c>
      <c r="J40" s="136"/>
    </row>
    <row r="41" spans="1:10" x14ac:dyDescent="0.2">
      <c r="A41" s="9">
        <v>4</v>
      </c>
      <c r="B41" s="183" t="s">
        <v>451</v>
      </c>
      <c r="C41" s="128"/>
      <c r="D41" s="192">
        <v>9845</v>
      </c>
      <c r="E41" s="204"/>
      <c r="F41" s="99">
        <v>36617</v>
      </c>
      <c r="G41" s="128">
        <v>4210001</v>
      </c>
      <c r="H41" s="128"/>
      <c r="I41" s="136">
        <v>87954</v>
      </c>
      <c r="J41" s="136"/>
    </row>
    <row r="42" spans="1:10" x14ac:dyDescent="0.2">
      <c r="A42" s="9">
        <v>5</v>
      </c>
      <c r="B42" s="128">
        <v>457241</v>
      </c>
      <c r="C42" s="128"/>
      <c r="D42" s="192">
        <v>83294</v>
      </c>
      <c r="E42" s="204"/>
      <c r="F42" s="99">
        <v>41212</v>
      </c>
      <c r="G42" s="128" t="s">
        <v>868</v>
      </c>
      <c r="H42" s="128"/>
      <c r="I42" s="136">
        <v>167150.54</v>
      </c>
      <c r="J42" s="136"/>
    </row>
    <row r="43" spans="1:10" x14ac:dyDescent="0.2">
      <c r="A43" s="9">
        <v>6</v>
      </c>
      <c r="B43" s="128">
        <v>457244</v>
      </c>
      <c r="C43" s="128"/>
      <c r="D43" s="192">
        <v>83298</v>
      </c>
      <c r="E43" s="204"/>
      <c r="F43" s="99">
        <v>41551</v>
      </c>
      <c r="G43" s="128" t="s">
        <v>871</v>
      </c>
      <c r="H43" s="128"/>
      <c r="I43" s="136">
        <v>201728.71</v>
      </c>
      <c r="J43" s="136"/>
    </row>
    <row r="44" spans="1:10" x14ac:dyDescent="0.2">
      <c r="A44" s="9">
        <v>7</v>
      </c>
      <c r="B44" s="128">
        <v>457242</v>
      </c>
      <c r="C44" s="128"/>
      <c r="D44" s="192">
        <v>83296</v>
      </c>
      <c r="E44" s="204"/>
      <c r="F44" s="99">
        <v>41212</v>
      </c>
      <c r="G44" s="128" t="s">
        <v>872</v>
      </c>
      <c r="H44" s="128"/>
      <c r="I44" s="136">
        <v>135172.63</v>
      </c>
      <c r="J44" s="136"/>
    </row>
    <row r="45" spans="1:10" x14ac:dyDescent="0.2">
      <c r="A45" s="9">
        <v>8</v>
      </c>
      <c r="B45" s="128">
        <v>457309</v>
      </c>
      <c r="C45" s="128"/>
      <c r="D45" s="192">
        <v>84875</v>
      </c>
      <c r="E45" s="204"/>
      <c r="F45" s="99">
        <v>42070</v>
      </c>
      <c r="G45" s="128" t="s">
        <v>874</v>
      </c>
      <c r="H45" s="128"/>
      <c r="I45" s="136">
        <v>55898.59</v>
      </c>
      <c r="J45" s="136"/>
    </row>
    <row r="46" spans="1:10" x14ac:dyDescent="0.2">
      <c r="A46" s="19"/>
      <c r="B46" s="137"/>
      <c r="C46" s="137"/>
      <c r="D46" s="164">
        <v>87270</v>
      </c>
      <c r="E46" s="165"/>
      <c r="F46" s="100"/>
      <c r="G46" s="164" t="s">
        <v>1396</v>
      </c>
      <c r="H46" s="165"/>
      <c r="I46" s="138">
        <v>30092.6</v>
      </c>
      <c r="J46" s="138"/>
    </row>
    <row r="47" spans="1:10" x14ac:dyDescent="0.2">
      <c r="A47" s="19"/>
      <c r="B47" s="137">
        <v>457467</v>
      </c>
      <c r="C47" s="137"/>
      <c r="D47" s="164">
        <v>87384</v>
      </c>
      <c r="E47" s="165"/>
      <c r="F47" s="101">
        <v>41774</v>
      </c>
      <c r="G47" s="164" t="s">
        <v>943</v>
      </c>
      <c r="H47" s="165"/>
      <c r="I47" s="138">
        <v>66639.899999999994</v>
      </c>
      <c r="J47" s="138"/>
    </row>
    <row r="48" spans="1:10" x14ac:dyDescent="0.2">
      <c r="A48" s="19"/>
      <c r="B48" s="137"/>
      <c r="C48" s="137"/>
      <c r="D48" s="164">
        <v>90583</v>
      </c>
      <c r="E48" s="165"/>
      <c r="F48" s="101">
        <v>41870</v>
      </c>
      <c r="G48" s="137" t="s">
        <v>931</v>
      </c>
      <c r="H48" s="137"/>
      <c r="I48" s="138">
        <v>57224.5</v>
      </c>
      <c r="J48" s="138"/>
    </row>
    <row r="49" spans="1:11" x14ac:dyDescent="0.2">
      <c r="A49" s="19"/>
      <c r="B49" s="137"/>
      <c r="C49" s="137"/>
      <c r="D49" s="164">
        <v>89155</v>
      </c>
      <c r="E49" s="165"/>
      <c r="F49" s="100"/>
      <c r="G49" s="137" t="s">
        <v>913</v>
      </c>
      <c r="H49" s="137"/>
      <c r="I49" s="138">
        <f>32145*1.05</f>
        <v>33752.25</v>
      </c>
      <c r="J49" s="138"/>
    </row>
    <row r="50" spans="1:11" x14ac:dyDescent="0.2">
      <c r="A50" s="19"/>
      <c r="B50" s="137"/>
      <c r="C50" s="137"/>
      <c r="D50" s="164">
        <v>89154</v>
      </c>
      <c r="E50" s="165"/>
      <c r="F50" s="100"/>
      <c r="G50" s="137" t="s">
        <v>953</v>
      </c>
      <c r="H50" s="137"/>
      <c r="I50" s="138">
        <f>37076.25*1.05</f>
        <v>38930.0625</v>
      </c>
      <c r="J50" s="138"/>
    </row>
    <row r="51" spans="1:11" x14ac:dyDescent="0.2">
      <c r="A51" s="19"/>
      <c r="B51" s="137"/>
      <c r="C51" s="137"/>
      <c r="D51" s="164">
        <v>89156</v>
      </c>
      <c r="E51" s="165"/>
      <c r="F51" s="100"/>
      <c r="G51" s="137" t="s">
        <v>954</v>
      </c>
      <c r="H51" s="137"/>
      <c r="I51" s="138">
        <f>37316.25*1.05</f>
        <v>39182.0625</v>
      </c>
      <c r="J51" s="138"/>
    </row>
    <row r="52" spans="1:11" x14ac:dyDescent="0.2">
      <c r="A52" s="19"/>
      <c r="B52" s="137"/>
      <c r="C52" s="137"/>
      <c r="D52" s="164">
        <v>90189</v>
      </c>
      <c r="E52" s="165"/>
      <c r="F52" s="100"/>
      <c r="G52" s="137" t="s">
        <v>939</v>
      </c>
      <c r="H52" s="137"/>
      <c r="I52" s="138">
        <v>4996.6000000000004</v>
      </c>
      <c r="J52" s="138"/>
    </row>
    <row r="53" spans="1:11" x14ac:dyDescent="0.2">
      <c r="A53" s="19"/>
      <c r="B53" s="137"/>
      <c r="C53" s="137"/>
      <c r="D53" s="164">
        <v>92964</v>
      </c>
      <c r="E53" s="165"/>
      <c r="F53" s="101">
        <v>41962</v>
      </c>
      <c r="G53" s="137" t="s">
        <v>960</v>
      </c>
      <c r="H53" s="137"/>
      <c r="I53" s="138">
        <v>30914.89</v>
      </c>
      <c r="J53" s="138"/>
    </row>
    <row r="54" spans="1:11" x14ac:dyDescent="0.2">
      <c r="A54" s="19"/>
      <c r="B54" s="137"/>
      <c r="C54" s="137"/>
      <c r="D54" s="164">
        <v>92966</v>
      </c>
      <c r="E54" s="165"/>
      <c r="F54" s="100"/>
      <c r="G54" s="137" t="s">
        <v>1055</v>
      </c>
      <c r="H54" s="137"/>
      <c r="I54" s="138">
        <f>35698.2*1.05</f>
        <v>37483.11</v>
      </c>
      <c r="J54" s="138"/>
    </row>
    <row r="55" spans="1:11" x14ac:dyDescent="0.2">
      <c r="A55" s="19"/>
      <c r="B55" s="137"/>
      <c r="C55" s="137"/>
      <c r="D55" s="164">
        <v>92965</v>
      </c>
      <c r="E55" s="165"/>
      <c r="F55" s="100"/>
      <c r="G55" s="137" t="s">
        <v>1056</v>
      </c>
      <c r="H55" s="137"/>
      <c r="I55" s="138">
        <v>11971</v>
      </c>
      <c r="J55" s="138"/>
    </row>
    <row r="56" spans="1:11" x14ac:dyDescent="0.2">
      <c r="A56" s="19"/>
      <c r="B56" s="137"/>
      <c r="C56" s="137"/>
      <c r="D56" s="164">
        <v>93896</v>
      </c>
      <c r="E56" s="165"/>
      <c r="F56" s="100" t="s">
        <v>1027</v>
      </c>
      <c r="G56" s="137"/>
      <c r="H56" s="137"/>
      <c r="I56" s="138">
        <v>7960</v>
      </c>
      <c r="J56" s="138"/>
    </row>
    <row r="57" spans="1:11" x14ac:dyDescent="0.2">
      <c r="A57" s="19"/>
      <c r="B57" s="137">
        <v>457826</v>
      </c>
      <c r="C57" s="137"/>
      <c r="D57" s="164">
        <v>94448</v>
      </c>
      <c r="E57" s="165"/>
      <c r="F57" s="100"/>
      <c r="G57" s="137" t="s">
        <v>1132</v>
      </c>
      <c r="H57" s="137"/>
      <c r="I57" s="138">
        <f>45763.5*1.05</f>
        <v>48051.675000000003</v>
      </c>
      <c r="J57" s="138"/>
    </row>
    <row r="58" spans="1:11" x14ac:dyDescent="0.2">
      <c r="A58" s="19"/>
      <c r="B58" s="164"/>
      <c r="C58" s="165"/>
      <c r="D58" s="164">
        <v>98626</v>
      </c>
      <c r="E58" s="165"/>
      <c r="F58" s="100"/>
      <c r="G58" s="164" t="s">
        <v>1133</v>
      </c>
      <c r="H58" s="165"/>
      <c r="I58" s="166">
        <f>42552.15*1.05</f>
        <v>44679.757500000007</v>
      </c>
      <c r="J58" s="167"/>
    </row>
    <row r="59" spans="1:11" x14ac:dyDescent="0.2">
      <c r="A59" s="19"/>
      <c r="B59" s="137"/>
      <c r="C59" s="137"/>
      <c r="D59" s="164">
        <v>98813</v>
      </c>
      <c r="E59" s="165"/>
      <c r="F59" s="101">
        <v>44557</v>
      </c>
      <c r="G59" s="137" t="s">
        <v>1257</v>
      </c>
      <c r="H59" s="137"/>
      <c r="I59" s="138">
        <v>57504.52</v>
      </c>
      <c r="J59" s="138"/>
    </row>
    <row r="60" spans="1:11" x14ac:dyDescent="0.2">
      <c r="A60" s="82"/>
      <c r="B60" s="198"/>
      <c r="C60" s="198"/>
      <c r="D60" s="157">
        <v>106597</v>
      </c>
      <c r="E60" s="156"/>
      <c r="F60" s="102"/>
      <c r="G60" s="198" t="s">
        <v>1436</v>
      </c>
      <c r="H60" s="198"/>
      <c r="I60" s="199">
        <v>228416</v>
      </c>
      <c r="J60" s="199"/>
      <c r="K60" t="s">
        <v>1624</v>
      </c>
    </row>
    <row r="61" spans="1:11" x14ac:dyDescent="0.2">
      <c r="A61" s="58"/>
      <c r="B61" s="151"/>
      <c r="C61" s="151"/>
      <c r="D61" s="320">
        <v>117163</v>
      </c>
      <c r="E61" s="321"/>
      <c r="F61" s="110"/>
      <c r="G61" s="151" t="s">
        <v>1554</v>
      </c>
      <c r="H61" s="151"/>
      <c r="I61" s="152">
        <v>141150</v>
      </c>
      <c r="J61" s="152"/>
      <c r="K61" t="s">
        <v>1625</v>
      </c>
    </row>
    <row r="62" spans="1:11" x14ac:dyDescent="0.2">
      <c r="A62" s="26"/>
      <c r="B62" s="236"/>
      <c r="C62" s="236"/>
      <c r="D62" s="272">
        <v>115515</v>
      </c>
      <c r="E62" s="278"/>
      <c r="F62" s="103"/>
      <c r="G62" s="220" t="s">
        <v>1475</v>
      </c>
      <c r="H62" s="236"/>
      <c r="I62" s="247">
        <v>76287.63</v>
      </c>
      <c r="J62" s="247"/>
    </row>
    <row r="63" spans="1:11" x14ac:dyDescent="0.2">
      <c r="A63" s="26"/>
      <c r="B63" s="236"/>
      <c r="C63" s="236"/>
      <c r="D63" s="272"/>
      <c r="E63" s="278"/>
      <c r="F63" s="103"/>
      <c r="G63" s="220"/>
      <c r="H63" s="236"/>
      <c r="I63" s="247"/>
      <c r="J63" s="247"/>
    </row>
    <row r="64" spans="1:11" ht="13.5" thickBot="1" x14ac:dyDescent="0.25">
      <c r="A64" s="26"/>
      <c r="B64" s="236"/>
      <c r="C64" s="236"/>
      <c r="D64" s="272"/>
      <c r="E64" s="278"/>
      <c r="F64" s="103"/>
      <c r="G64" s="236"/>
      <c r="H64" s="236"/>
      <c r="I64" s="319"/>
      <c r="J64" s="319"/>
    </row>
    <row r="65" spans="1:10" ht="13.5" thickTop="1" x14ac:dyDescent="0.2">
      <c r="A65" s="13"/>
      <c r="B65" s="13"/>
      <c r="C65" s="13"/>
      <c r="D65" s="13"/>
      <c r="E65" s="13"/>
      <c r="F65" s="13"/>
      <c r="G65" s="13"/>
      <c r="H65" s="13" t="s">
        <v>33</v>
      </c>
      <c r="I65" s="140">
        <f>SUM(I38:J64)</f>
        <v>1903320.0275000003</v>
      </c>
      <c r="J65" s="140"/>
    </row>
    <row r="66" spans="1:1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" x14ac:dyDescent="0.25">
      <c r="A67" s="15" t="s">
        <v>46</v>
      </c>
      <c r="B67" s="16"/>
      <c r="C67" s="16"/>
      <c r="D67" s="16"/>
      <c r="E67" s="16"/>
      <c r="F67" s="16"/>
      <c r="G67" s="16"/>
      <c r="H67" s="16"/>
      <c r="I67" s="149" t="s">
        <v>47</v>
      </c>
      <c r="J67" s="150"/>
    </row>
    <row r="68" spans="1:10" x14ac:dyDescent="0.2">
      <c r="A68" s="144" t="s">
        <v>48</v>
      </c>
      <c r="B68" s="144"/>
      <c r="C68" s="144"/>
      <c r="D68" s="144"/>
      <c r="E68" s="144"/>
      <c r="F68" s="144"/>
      <c r="G68" s="144"/>
      <c r="H68" s="144"/>
      <c r="I68" s="148">
        <f>I33*80%</f>
        <v>2575872.5680000004</v>
      </c>
      <c r="J68" s="148"/>
    </row>
    <row r="69" spans="1:10" x14ac:dyDescent="0.2">
      <c r="A69" s="144" t="s">
        <v>49</v>
      </c>
      <c r="B69" s="144"/>
      <c r="C69" s="144"/>
      <c r="D69" s="144"/>
      <c r="E69" s="144"/>
      <c r="F69" s="144"/>
      <c r="G69" s="144"/>
      <c r="H69" s="144"/>
      <c r="I69" s="184">
        <f>249828-305983</f>
        <v>-56155</v>
      </c>
      <c r="J69" s="184"/>
    </row>
    <row r="70" spans="1:10" x14ac:dyDescent="0.2">
      <c r="A70" s="258" t="s">
        <v>1136</v>
      </c>
      <c r="B70" s="144"/>
      <c r="C70" s="144"/>
      <c r="D70" s="144"/>
      <c r="E70" s="144"/>
      <c r="F70" s="144"/>
      <c r="G70" s="144"/>
      <c r="H70" s="144"/>
      <c r="I70" s="184">
        <v>8939.4</v>
      </c>
      <c r="J70" s="184"/>
    </row>
    <row r="71" spans="1:10" x14ac:dyDescent="0.2">
      <c r="A71" s="134" t="s">
        <v>1470</v>
      </c>
      <c r="B71" s="134"/>
      <c r="C71" s="134"/>
      <c r="D71" s="134"/>
      <c r="E71" s="134"/>
      <c r="F71" s="134"/>
      <c r="G71" s="134"/>
      <c r="H71" s="134"/>
      <c r="I71" s="135">
        <v>-110942.78</v>
      </c>
      <c r="J71" s="135"/>
    </row>
    <row r="72" spans="1:10" x14ac:dyDescent="0.2">
      <c r="A72" s="134" t="s">
        <v>1510</v>
      </c>
      <c r="B72" s="134"/>
      <c r="C72" s="134"/>
      <c r="D72" s="134"/>
      <c r="E72" s="134"/>
      <c r="F72" s="134"/>
      <c r="G72" s="134"/>
      <c r="H72" s="134"/>
      <c r="I72" s="135">
        <v>-127083.99</v>
      </c>
      <c r="J72" s="135"/>
    </row>
    <row r="73" spans="1:10" x14ac:dyDescent="0.2">
      <c r="A73" s="134" t="s">
        <v>1623</v>
      </c>
      <c r="B73" s="134"/>
      <c r="C73" s="134"/>
      <c r="D73" s="134"/>
      <c r="E73" s="134"/>
      <c r="F73" s="134"/>
      <c r="G73" s="134"/>
      <c r="H73" s="134"/>
      <c r="I73" s="135">
        <v>-102059.52</v>
      </c>
      <c r="J73" s="135"/>
    </row>
    <row r="74" spans="1:10" ht="13.5" thickBot="1" x14ac:dyDescent="0.25">
      <c r="A74" s="144" t="s">
        <v>50</v>
      </c>
      <c r="B74" s="144"/>
      <c r="C74" s="144"/>
      <c r="D74" s="144"/>
      <c r="E74" s="144"/>
      <c r="F74" s="144"/>
      <c r="G74" s="144"/>
      <c r="H74" s="144"/>
      <c r="I74" s="145">
        <f>-I65</f>
        <v>-1903320.0275000003</v>
      </c>
      <c r="J74" s="145"/>
    </row>
    <row r="75" spans="1:10" ht="13.5" thickTop="1" x14ac:dyDescent="0.2">
      <c r="H75" s="18" t="s">
        <v>33</v>
      </c>
      <c r="I75" s="129">
        <f>SUM(I68:I74)</f>
        <v>285250.65049999999</v>
      </c>
      <c r="J75" s="130"/>
    </row>
    <row r="77" spans="1:10" ht="15" x14ac:dyDescent="0.25">
      <c r="A77" s="131" t="s">
        <v>51</v>
      </c>
      <c r="B77" s="132"/>
      <c r="C77" s="132"/>
      <c r="D77" s="132"/>
      <c r="E77" s="132"/>
      <c r="F77" s="132"/>
      <c r="G77" s="132"/>
      <c r="H77" s="132"/>
      <c r="I77" s="132"/>
      <c r="J77" s="133"/>
    </row>
    <row r="78" spans="1:10" x14ac:dyDescent="0.2">
      <c r="A78" s="207" t="s">
        <v>452</v>
      </c>
      <c r="B78" s="139"/>
      <c r="C78" s="139"/>
      <c r="D78" s="139"/>
      <c r="E78" s="139"/>
      <c r="F78" s="139"/>
      <c r="G78" s="139"/>
      <c r="H78" s="139"/>
      <c r="I78" s="139"/>
      <c r="J78" s="139"/>
    </row>
    <row r="79" spans="1:10" x14ac:dyDescent="0.2">
      <c r="A79" s="139"/>
      <c r="B79" s="139"/>
      <c r="C79" s="139"/>
      <c r="D79" s="139"/>
      <c r="E79" s="139"/>
      <c r="F79" s="139"/>
      <c r="G79" s="139"/>
      <c r="H79" s="139"/>
      <c r="I79" s="139"/>
      <c r="J79" s="139"/>
    </row>
    <row r="80" spans="1:10" x14ac:dyDescent="0.2">
      <c r="A80" s="139"/>
      <c r="B80" s="139"/>
      <c r="C80" s="139"/>
      <c r="D80" s="139"/>
      <c r="E80" s="139"/>
      <c r="F80" s="139"/>
      <c r="G80" s="139"/>
      <c r="H80" s="139"/>
      <c r="I80" s="139"/>
      <c r="J80" s="139"/>
    </row>
    <row r="81" spans="1:10" x14ac:dyDescent="0.2">
      <c r="A81" s="139"/>
      <c r="B81" s="139"/>
      <c r="C81" s="139"/>
      <c r="D81" s="139"/>
      <c r="E81" s="139"/>
      <c r="F81" s="139"/>
      <c r="G81" s="139"/>
      <c r="H81" s="139"/>
      <c r="I81" s="139"/>
      <c r="J81" s="139"/>
    </row>
    <row r="82" spans="1:10" x14ac:dyDescent="0.2">
      <c r="A82" s="139"/>
      <c r="B82" s="139"/>
      <c r="C82" s="139"/>
      <c r="D82" s="139"/>
      <c r="E82" s="139"/>
      <c r="F82" s="139"/>
      <c r="G82" s="139"/>
      <c r="H82" s="139"/>
      <c r="I82" s="139"/>
      <c r="J82" s="139"/>
    </row>
    <row r="83" spans="1:10" x14ac:dyDescent="0.2">
      <c r="A83" s="139"/>
      <c r="B83" s="139"/>
      <c r="C83" s="139"/>
      <c r="D83" s="139"/>
      <c r="E83" s="139"/>
      <c r="F83" s="139"/>
      <c r="G83" s="139"/>
      <c r="H83" s="139"/>
      <c r="I83" s="139"/>
      <c r="J83" s="139"/>
    </row>
    <row r="85" spans="1:10" ht="12" customHeight="1" x14ac:dyDescent="0.2"/>
  </sheetData>
  <mergeCells count="224">
    <mergeCell ref="D63:E63"/>
    <mergeCell ref="G61:H61"/>
    <mergeCell ref="G52:H52"/>
    <mergeCell ref="D54:E54"/>
    <mergeCell ref="B55:C55"/>
    <mergeCell ref="I58:J58"/>
    <mergeCell ref="G58:H58"/>
    <mergeCell ref="G63:H63"/>
    <mergeCell ref="I63:J63"/>
    <mergeCell ref="D60:E60"/>
    <mergeCell ref="I59:J59"/>
    <mergeCell ref="I61:J61"/>
    <mergeCell ref="G62:H62"/>
    <mergeCell ref="D62:E62"/>
    <mergeCell ref="I62:J62"/>
    <mergeCell ref="B61:C61"/>
    <mergeCell ref="D61:E61"/>
    <mergeCell ref="B59:C59"/>
    <mergeCell ref="B63:C63"/>
    <mergeCell ref="B62:C62"/>
    <mergeCell ref="B53:C53"/>
    <mergeCell ref="G53:H53"/>
    <mergeCell ref="I53:J53"/>
    <mergeCell ref="B60:C60"/>
    <mergeCell ref="D58:E58"/>
    <mergeCell ref="G59:H59"/>
    <mergeCell ref="B58:C58"/>
    <mergeCell ref="I57:J57"/>
    <mergeCell ref="I60:J60"/>
    <mergeCell ref="D59:E59"/>
    <mergeCell ref="D57:E57"/>
    <mergeCell ref="B57:C57"/>
    <mergeCell ref="G57:H57"/>
    <mergeCell ref="G60:H60"/>
    <mergeCell ref="G43:H43"/>
    <mergeCell ref="D31:E31"/>
    <mergeCell ref="D32:E32"/>
    <mergeCell ref="B56:C56"/>
    <mergeCell ref="G56:H56"/>
    <mergeCell ref="I56:J56"/>
    <mergeCell ref="G55:H55"/>
    <mergeCell ref="G54:H54"/>
    <mergeCell ref="B49:C49"/>
    <mergeCell ref="G49:H49"/>
    <mergeCell ref="I49:J49"/>
    <mergeCell ref="B52:C52"/>
    <mergeCell ref="B54:C54"/>
    <mergeCell ref="I55:J55"/>
    <mergeCell ref="B50:C50"/>
    <mergeCell ref="G50:H50"/>
    <mergeCell ref="I50:J50"/>
    <mergeCell ref="B51:C51"/>
    <mergeCell ref="I54:J54"/>
    <mergeCell ref="D55:E55"/>
    <mergeCell ref="D56:E56"/>
    <mergeCell ref="G51:H51"/>
    <mergeCell ref="I51:J51"/>
    <mergeCell ref="I52:J52"/>
    <mergeCell ref="G31:H31"/>
    <mergeCell ref="G32:H32"/>
    <mergeCell ref="D23:E23"/>
    <mergeCell ref="B26:C26"/>
    <mergeCell ref="D26:E26"/>
    <mergeCell ref="B23:C23"/>
    <mergeCell ref="B30:C30"/>
    <mergeCell ref="D30:E30"/>
    <mergeCell ref="B29:C29"/>
    <mergeCell ref="G23:H23"/>
    <mergeCell ref="D24:E24"/>
    <mergeCell ref="G24:H24"/>
    <mergeCell ref="B25:C25"/>
    <mergeCell ref="D25:E25"/>
    <mergeCell ref="D29:E29"/>
    <mergeCell ref="D28:E28"/>
    <mergeCell ref="G30:H30"/>
    <mergeCell ref="G28:H28"/>
    <mergeCell ref="G29:H29"/>
    <mergeCell ref="B31:C31"/>
    <mergeCell ref="B32:C32"/>
    <mergeCell ref="G18:H18"/>
    <mergeCell ref="B19:C19"/>
    <mergeCell ref="G19:H19"/>
    <mergeCell ref="D19:E19"/>
    <mergeCell ref="G26:H26"/>
    <mergeCell ref="B18:C18"/>
    <mergeCell ref="D18:E18"/>
    <mergeCell ref="G27:H27"/>
    <mergeCell ref="B28:C28"/>
    <mergeCell ref="G20:H20"/>
    <mergeCell ref="B21:C21"/>
    <mergeCell ref="D21:E21"/>
    <mergeCell ref="G21:H21"/>
    <mergeCell ref="G22:H22"/>
    <mergeCell ref="G25:H25"/>
    <mergeCell ref="B24:C24"/>
    <mergeCell ref="B20:C20"/>
    <mergeCell ref="D20:E20"/>
    <mergeCell ref="B22:C22"/>
    <mergeCell ref="D22:E22"/>
    <mergeCell ref="I75:J75"/>
    <mergeCell ref="A68:H68"/>
    <mergeCell ref="I68:J68"/>
    <mergeCell ref="B64:C64"/>
    <mergeCell ref="G64:H64"/>
    <mergeCell ref="I64:J64"/>
    <mergeCell ref="D64:E64"/>
    <mergeCell ref="A70:H70"/>
    <mergeCell ref="I70:J70"/>
    <mergeCell ref="I65:J65"/>
    <mergeCell ref="A71:H71"/>
    <mergeCell ref="I71:J71"/>
    <mergeCell ref="I67:J67"/>
    <mergeCell ref="A72:H72"/>
    <mergeCell ref="I72:J72"/>
    <mergeCell ref="A73:H73"/>
    <mergeCell ref="I73:J73"/>
    <mergeCell ref="A77:J77"/>
    <mergeCell ref="A78:J83"/>
    <mergeCell ref="I4:I5"/>
    <mergeCell ref="J4:J5"/>
    <mergeCell ref="A69:H69"/>
    <mergeCell ref="I69:J69"/>
    <mergeCell ref="A74:H74"/>
    <mergeCell ref="I74:J74"/>
    <mergeCell ref="B46:C46"/>
    <mergeCell ref="G46:H46"/>
    <mergeCell ref="I46:J46"/>
    <mergeCell ref="B47:C47"/>
    <mergeCell ref="I47:J47"/>
    <mergeCell ref="G47:H47"/>
    <mergeCell ref="D47:E47"/>
    <mergeCell ref="D41:E41"/>
    <mergeCell ref="I43:J43"/>
    <mergeCell ref="B44:C44"/>
    <mergeCell ref="G44:H44"/>
    <mergeCell ref="I44:J44"/>
    <mergeCell ref="B40:C40"/>
    <mergeCell ref="G40:H40"/>
    <mergeCell ref="I40:J40"/>
    <mergeCell ref="B41:C41"/>
    <mergeCell ref="B17:C17"/>
    <mergeCell ref="D17:E17"/>
    <mergeCell ref="G17:H17"/>
    <mergeCell ref="B16:C16"/>
    <mergeCell ref="D16:E16"/>
    <mergeCell ref="G16:H16"/>
    <mergeCell ref="B15:C15"/>
    <mergeCell ref="D15:E15"/>
    <mergeCell ref="G15:H15"/>
    <mergeCell ref="B14:C14"/>
    <mergeCell ref="D14:E14"/>
    <mergeCell ref="G14:H14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  <mergeCell ref="B48:C48"/>
    <mergeCell ref="G48:H48"/>
    <mergeCell ref="I48:J48"/>
    <mergeCell ref="B36:C37"/>
    <mergeCell ref="D36:D37"/>
    <mergeCell ref="E36:F37"/>
    <mergeCell ref="D42:E42"/>
    <mergeCell ref="D43:E43"/>
    <mergeCell ref="G36:H37"/>
    <mergeCell ref="I36:J37"/>
    <mergeCell ref="D44:E44"/>
    <mergeCell ref="D45:E45"/>
    <mergeCell ref="D46:E46"/>
    <mergeCell ref="B27:C27"/>
    <mergeCell ref="D27:E27"/>
    <mergeCell ref="D40:E40"/>
    <mergeCell ref="A35:J35"/>
    <mergeCell ref="A36:A37"/>
    <mergeCell ref="I41:J41"/>
    <mergeCell ref="B38:C38"/>
    <mergeCell ref="D48:E48"/>
    <mergeCell ref="D49:E49"/>
    <mergeCell ref="D50:E50"/>
    <mergeCell ref="D51:E51"/>
    <mergeCell ref="D52:E52"/>
    <mergeCell ref="D53:E53"/>
    <mergeCell ref="I45:J45"/>
    <mergeCell ref="B42:C42"/>
    <mergeCell ref="G42:H42"/>
    <mergeCell ref="I42:J42"/>
    <mergeCell ref="G45:H45"/>
    <mergeCell ref="B43:C43"/>
    <mergeCell ref="G41:H41"/>
    <mergeCell ref="E38:F38"/>
    <mergeCell ref="G38:H38"/>
    <mergeCell ref="I38:J38"/>
    <mergeCell ref="B39:C39"/>
    <mergeCell ref="E39:F39"/>
    <mergeCell ref="G39:H39"/>
    <mergeCell ref="I39:J39"/>
    <mergeCell ref="B45:C45"/>
  </mergeCells>
  <phoneticPr fontId="6" type="noConversion"/>
  <pageMargins left="0.75" right="0.25" top="0.75" bottom="0.75" header="0.3" footer="0.3"/>
  <pageSetup scale="6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42"/>
  <sheetViews>
    <sheetView topLeftCell="A7" workbookViewId="0">
      <selection activeCell="A17" sqref="A17"/>
    </sheetView>
  </sheetViews>
  <sheetFormatPr defaultRowHeight="12.75" x14ac:dyDescent="0.2"/>
  <cols>
    <col min="7" max="7" width="13.7109375" customWidth="1"/>
    <col min="8" max="8" width="11.7109375" customWidth="1"/>
    <col min="9" max="9" width="11.7109375" bestFit="1" customWidth="1"/>
    <col min="10" max="10" width="12.28515625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1276</v>
      </c>
      <c r="B2" s="6"/>
      <c r="C2" s="6"/>
      <c r="D2" s="6"/>
      <c r="E2" s="6"/>
      <c r="F2" s="6"/>
      <c r="G2" s="6"/>
      <c r="H2" s="6"/>
      <c r="I2" s="6"/>
      <c r="J2" s="59" t="s">
        <v>354</v>
      </c>
    </row>
    <row r="3" spans="1:10" ht="15" x14ac:dyDescent="0.25">
      <c r="A3" s="131"/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69" t="s">
        <v>834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4331176</v>
      </c>
      <c r="C6" s="128"/>
      <c r="D6" s="230" t="s">
        <v>1182</v>
      </c>
      <c r="E6" s="128"/>
      <c r="F6" s="12">
        <v>43872</v>
      </c>
      <c r="G6" s="169"/>
      <c r="H6" s="169"/>
      <c r="I6" s="32">
        <v>312580.23</v>
      </c>
      <c r="J6" s="32">
        <f>I6*0.8</f>
        <v>250064.18400000001</v>
      </c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32"/>
      <c r="J7" s="32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2"/>
      <c r="J8" s="32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13"/>
      <c r="B11" s="13"/>
      <c r="C11" s="13"/>
      <c r="D11" s="13"/>
      <c r="E11" s="13"/>
      <c r="F11" s="13"/>
      <c r="G11" s="13"/>
      <c r="H11" s="13" t="s">
        <v>33</v>
      </c>
      <c r="I11" s="33">
        <f>SUM(I6:I10)</f>
        <v>312580.23</v>
      </c>
      <c r="J11" s="33">
        <f>SUM(J6:J10)</f>
        <v>250064.18400000001</v>
      </c>
    </row>
    <row r="12" spans="1:10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 x14ac:dyDescent="0.25">
      <c r="A13" s="131" t="s">
        <v>34</v>
      </c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0" x14ac:dyDescent="0.2">
      <c r="A14" s="169" t="s">
        <v>23</v>
      </c>
      <c r="B14" s="169" t="s">
        <v>35</v>
      </c>
      <c r="C14" s="169"/>
      <c r="D14" s="169" t="s">
        <v>36</v>
      </c>
      <c r="E14" s="169" t="s">
        <v>37</v>
      </c>
      <c r="F14" s="169"/>
      <c r="G14" s="169" t="s">
        <v>38</v>
      </c>
      <c r="H14" s="169"/>
      <c r="I14" s="169" t="s">
        <v>39</v>
      </c>
      <c r="J14" s="169"/>
    </row>
    <row r="15" spans="1:10" x14ac:dyDescent="0.2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x14ac:dyDescent="0.2">
      <c r="A16" s="82">
        <v>1</v>
      </c>
      <c r="B16" s="198"/>
      <c r="C16" s="198"/>
      <c r="D16" s="82">
        <v>113455</v>
      </c>
      <c r="E16" s="198"/>
      <c r="F16" s="198"/>
      <c r="G16" s="198" t="s">
        <v>1429</v>
      </c>
      <c r="H16" s="198"/>
      <c r="I16" s="199">
        <v>43235.58</v>
      </c>
      <c r="J16" s="199"/>
    </row>
    <row r="17" spans="1:10" x14ac:dyDescent="0.2">
      <c r="A17" s="26"/>
      <c r="B17" s="236"/>
      <c r="C17" s="236"/>
      <c r="D17" s="26"/>
      <c r="E17" s="236"/>
      <c r="F17" s="236"/>
      <c r="G17" s="236"/>
      <c r="H17" s="236"/>
      <c r="I17" s="247"/>
      <c r="J17" s="247"/>
    </row>
    <row r="18" spans="1:10" x14ac:dyDescent="0.2">
      <c r="A18" s="26"/>
      <c r="B18" s="236"/>
      <c r="C18" s="236"/>
      <c r="D18" s="26"/>
      <c r="E18" s="236"/>
      <c r="F18" s="236"/>
      <c r="G18" s="220"/>
      <c r="H18" s="236"/>
      <c r="I18" s="247"/>
      <c r="J18" s="247"/>
    </row>
    <row r="19" spans="1:10" x14ac:dyDescent="0.2">
      <c r="A19" s="26"/>
      <c r="B19" s="236"/>
      <c r="C19" s="236"/>
      <c r="D19" s="26"/>
      <c r="E19" s="236"/>
      <c r="F19" s="236"/>
      <c r="G19" s="236"/>
      <c r="H19" s="236"/>
      <c r="I19" s="247"/>
      <c r="J19" s="247"/>
    </row>
    <row r="20" spans="1:10" x14ac:dyDescent="0.2">
      <c r="A20" s="58"/>
      <c r="B20" s="151"/>
      <c r="C20" s="151"/>
      <c r="D20" s="58"/>
      <c r="E20" s="151"/>
      <c r="F20" s="151"/>
      <c r="G20" s="151"/>
      <c r="H20" s="151"/>
      <c r="I20" s="152"/>
      <c r="J20" s="152"/>
    </row>
    <row r="21" spans="1:10" x14ac:dyDescent="0.2">
      <c r="A21" s="58"/>
      <c r="B21" s="151"/>
      <c r="C21" s="151"/>
      <c r="D21" s="58"/>
      <c r="E21" s="151"/>
      <c r="F21" s="151"/>
      <c r="G21" s="151"/>
      <c r="H21" s="151"/>
      <c r="I21" s="152"/>
      <c r="J21" s="152"/>
    </row>
    <row r="22" spans="1:10" x14ac:dyDescent="0.2">
      <c r="A22" s="58"/>
      <c r="B22" s="151"/>
      <c r="C22" s="151"/>
      <c r="D22" s="58"/>
      <c r="E22" s="151"/>
      <c r="F22" s="151"/>
      <c r="G22" s="151"/>
      <c r="H22" s="151"/>
      <c r="I22" s="152"/>
      <c r="J22" s="152"/>
    </row>
    <row r="23" spans="1:10" x14ac:dyDescent="0.2">
      <c r="A23" s="9"/>
      <c r="B23" s="128"/>
      <c r="C23" s="128"/>
      <c r="D23" s="9"/>
      <c r="E23" s="128"/>
      <c r="F23" s="128"/>
      <c r="G23" s="128"/>
      <c r="H23" s="128"/>
      <c r="I23" s="136"/>
      <c r="J23" s="136"/>
    </row>
    <row r="24" spans="1:10" ht="13.5" thickBot="1" x14ac:dyDescent="0.25">
      <c r="A24" s="9"/>
      <c r="B24" s="128"/>
      <c r="C24" s="128"/>
      <c r="D24" s="9"/>
      <c r="E24" s="128"/>
      <c r="F24" s="128"/>
      <c r="G24" s="128"/>
      <c r="H24" s="128"/>
      <c r="I24" s="226"/>
      <c r="J24" s="226"/>
    </row>
    <row r="25" spans="1:10" ht="13.5" thickTop="1" x14ac:dyDescent="0.2">
      <c r="A25" s="13"/>
      <c r="B25" s="13"/>
      <c r="C25" s="13"/>
      <c r="D25" s="13"/>
      <c r="E25" s="13"/>
      <c r="F25" s="13"/>
      <c r="G25" s="13"/>
      <c r="H25" s="13" t="s">
        <v>33</v>
      </c>
      <c r="I25" s="140">
        <f>SUM(I16:J24)</f>
        <v>43235.58</v>
      </c>
      <c r="J25" s="140"/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15" t="s">
        <v>46</v>
      </c>
      <c r="B27" s="16"/>
      <c r="C27" s="16"/>
      <c r="D27" s="16"/>
      <c r="E27" s="16"/>
      <c r="F27" s="16"/>
      <c r="G27" s="16"/>
      <c r="H27" s="16"/>
      <c r="I27" s="149" t="s">
        <v>47</v>
      </c>
      <c r="J27" s="150"/>
    </row>
    <row r="28" spans="1:10" x14ac:dyDescent="0.2">
      <c r="A28" s="144" t="s">
        <v>48</v>
      </c>
      <c r="B28" s="144"/>
      <c r="C28" s="144"/>
      <c r="D28" s="144"/>
      <c r="E28" s="144"/>
      <c r="F28" s="144"/>
      <c r="G28" s="144"/>
      <c r="H28" s="144"/>
      <c r="I28" s="148">
        <f>I11*80%</f>
        <v>250064.18400000001</v>
      </c>
      <c r="J28" s="148"/>
    </row>
    <row r="29" spans="1:10" x14ac:dyDescent="0.2">
      <c r="A29" s="144" t="s">
        <v>49</v>
      </c>
      <c r="B29" s="144"/>
      <c r="C29" s="144"/>
      <c r="D29" s="144"/>
      <c r="E29" s="144"/>
      <c r="F29" s="144"/>
      <c r="G29" s="144"/>
      <c r="H29" s="144"/>
      <c r="I29" s="184"/>
      <c r="J29" s="184"/>
    </row>
    <row r="30" spans="1:10" x14ac:dyDescent="0.2">
      <c r="A30" s="258" t="s">
        <v>1277</v>
      </c>
      <c r="B30" s="144"/>
      <c r="C30" s="144"/>
      <c r="D30" s="144"/>
      <c r="E30" s="144"/>
      <c r="F30" s="144"/>
      <c r="G30" s="144"/>
      <c r="H30" s="144"/>
      <c r="I30" s="184">
        <v>236363.64</v>
      </c>
      <c r="J30" s="184"/>
    </row>
    <row r="31" spans="1:10" x14ac:dyDescent="0.2">
      <c r="A31" s="134" t="s">
        <v>1372</v>
      </c>
      <c r="B31" s="134"/>
      <c r="C31" s="134"/>
      <c r="D31" s="134"/>
      <c r="E31" s="134"/>
      <c r="F31" s="134"/>
      <c r="G31" s="134"/>
      <c r="H31" s="134"/>
      <c r="I31" s="135">
        <v>-236363.64</v>
      </c>
      <c r="J31" s="135"/>
    </row>
    <row r="32" spans="1:10" x14ac:dyDescent="0.2">
      <c r="A32" s="134" t="s">
        <v>1430</v>
      </c>
      <c r="B32" s="134"/>
      <c r="C32" s="134"/>
      <c r="D32" s="134"/>
      <c r="E32" s="134"/>
      <c r="F32" s="134"/>
      <c r="G32" s="134"/>
      <c r="H32" s="134"/>
      <c r="I32" s="135">
        <v>-206828.6</v>
      </c>
      <c r="J32" s="135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145">
        <f>I25</f>
        <v>43235.58</v>
      </c>
      <c r="J33" s="145"/>
    </row>
    <row r="34" spans="1:10" ht="13.5" thickTop="1" x14ac:dyDescent="0.2">
      <c r="H34" s="18" t="s">
        <v>33</v>
      </c>
      <c r="I34" s="129">
        <f>I28+I29+I30+I31+I32-I33</f>
        <v>4.0000000008149073E-3</v>
      </c>
      <c r="J34" s="130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84">
    <mergeCell ref="I29:J29"/>
    <mergeCell ref="I24:J24"/>
    <mergeCell ref="A37:J42"/>
    <mergeCell ref="A30:H30"/>
    <mergeCell ref="I30:J30"/>
    <mergeCell ref="A33:H33"/>
    <mergeCell ref="I33:J33"/>
    <mergeCell ref="I32:J32"/>
    <mergeCell ref="I34:J34"/>
    <mergeCell ref="A36:J36"/>
    <mergeCell ref="A31:H31"/>
    <mergeCell ref="I31:J31"/>
    <mergeCell ref="A32:H32"/>
    <mergeCell ref="I27:J27"/>
    <mergeCell ref="A28:H28"/>
    <mergeCell ref="I28:J28"/>
    <mergeCell ref="A29:H29"/>
    <mergeCell ref="I25:J25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B19:C19"/>
    <mergeCell ref="E19:F19"/>
    <mergeCell ref="G19:H19"/>
    <mergeCell ref="I19:J19"/>
    <mergeCell ref="B20:C20"/>
    <mergeCell ref="E20:F20"/>
    <mergeCell ref="G20:H20"/>
    <mergeCell ref="I20:J20"/>
    <mergeCell ref="B17:C17"/>
    <mergeCell ref="E17:F17"/>
    <mergeCell ref="G17:H17"/>
    <mergeCell ref="I17:J17"/>
    <mergeCell ref="B18:C18"/>
    <mergeCell ref="E18:F18"/>
    <mergeCell ref="G18:H18"/>
    <mergeCell ref="I18:J18"/>
    <mergeCell ref="B16:C16"/>
    <mergeCell ref="E16:F16"/>
    <mergeCell ref="G16:H16"/>
    <mergeCell ref="I16:J16"/>
    <mergeCell ref="B10:C10"/>
    <mergeCell ref="D10:E10"/>
    <mergeCell ref="G10:H10"/>
    <mergeCell ref="A13:J13"/>
    <mergeCell ref="A14:A15"/>
    <mergeCell ref="B14:C15"/>
    <mergeCell ref="D14:D15"/>
    <mergeCell ref="E14:F15"/>
    <mergeCell ref="G14:H15"/>
    <mergeCell ref="I14:J15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  <pageSetup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J47"/>
  <sheetViews>
    <sheetView workbookViewId="0">
      <selection activeCell="D11" sqref="D11:E11"/>
    </sheetView>
  </sheetViews>
  <sheetFormatPr defaultRowHeight="12.75" x14ac:dyDescent="0.2"/>
  <cols>
    <col min="6" max="6" width="14.140625" customWidth="1"/>
    <col min="8" max="8" width="12.5703125" customWidth="1"/>
    <col min="9" max="9" width="11.14062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1021</v>
      </c>
      <c r="B2" s="6"/>
      <c r="C2" s="6"/>
      <c r="D2" s="6"/>
      <c r="E2" s="6"/>
      <c r="F2" s="6"/>
      <c r="G2" s="6"/>
      <c r="H2" s="6"/>
      <c r="I2" s="6"/>
      <c r="J2" s="59" t="s">
        <v>164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69" t="s">
        <v>834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4442032</v>
      </c>
      <c r="C6" s="128"/>
      <c r="D6" s="128">
        <v>4432258</v>
      </c>
      <c r="E6" s="128"/>
      <c r="F6" s="12">
        <v>41960</v>
      </c>
      <c r="G6" s="169"/>
      <c r="H6" s="169"/>
      <c r="I6" s="32">
        <v>105512.58</v>
      </c>
      <c r="J6" s="32">
        <f>I6*0.8</f>
        <v>84410.064000000013</v>
      </c>
    </row>
    <row r="7" spans="1:10" x14ac:dyDescent="0.2">
      <c r="A7" s="9">
        <v>2</v>
      </c>
      <c r="B7" s="128">
        <v>4435265</v>
      </c>
      <c r="C7" s="128"/>
      <c r="D7" s="128">
        <v>4435266</v>
      </c>
      <c r="E7" s="128"/>
      <c r="F7" s="12">
        <v>42810</v>
      </c>
      <c r="G7" s="169"/>
      <c r="H7" s="169"/>
      <c r="I7" s="32">
        <v>89100.86</v>
      </c>
      <c r="J7" s="32">
        <f>I7*0.8</f>
        <v>71280.688000000009</v>
      </c>
    </row>
    <row r="8" spans="1:10" x14ac:dyDescent="0.2">
      <c r="A8" s="9">
        <v>3</v>
      </c>
      <c r="B8" s="128">
        <v>4447948</v>
      </c>
      <c r="C8" s="128"/>
      <c r="D8" s="128">
        <v>4447949</v>
      </c>
      <c r="E8" s="128"/>
      <c r="F8" s="12">
        <v>42810</v>
      </c>
      <c r="G8" s="169"/>
      <c r="H8" s="169"/>
      <c r="I8" s="32">
        <v>60656.85</v>
      </c>
      <c r="J8" s="32">
        <f>I8*0.8</f>
        <v>48525.48</v>
      </c>
    </row>
    <row r="9" spans="1:10" x14ac:dyDescent="0.2">
      <c r="A9" s="9">
        <v>4</v>
      </c>
      <c r="B9" s="128">
        <v>4445643</v>
      </c>
      <c r="C9" s="128"/>
      <c r="D9" s="128">
        <v>4445644</v>
      </c>
      <c r="E9" s="128"/>
      <c r="F9" s="12">
        <v>44118</v>
      </c>
      <c r="G9" s="169"/>
      <c r="H9" s="169"/>
      <c r="I9" s="32">
        <v>67025</v>
      </c>
      <c r="J9" s="32">
        <f>I9*0.8</f>
        <v>53620</v>
      </c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13"/>
      <c r="B12" s="13"/>
      <c r="C12" s="13"/>
      <c r="D12" s="13"/>
      <c r="E12" s="13"/>
      <c r="F12" s="13"/>
      <c r="G12" s="13"/>
      <c r="H12" s="13" t="s">
        <v>33</v>
      </c>
      <c r="I12" s="33">
        <f>SUM(I6:I11)</f>
        <v>322295.29000000004</v>
      </c>
      <c r="J12" s="33">
        <f>SUM(J6:J11)</f>
        <v>257836.23200000005</v>
      </c>
    </row>
    <row r="13" spans="1:10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 x14ac:dyDescent="0.25">
      <c r="A14" s="131" t="s">
        <v>34</v>
      </c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x14ac:dyDescent="0.2">
      <c r="A15" s="169" t="s">
        <v>23</v>
      </c>
      <c r="B15" s="169" t="s">
        <v>35</v>
      </c>
      <c r="C15" s="169"/>
      <c r="D15" s="169" t="s">
        <v>36</v>
      </c>
      <c r="E15" s="169" t="s">
        <v>37</v>
      </c>
      <c r="F15" s="169"/>
      <c r="G15" s="169" t="s">
        <v>38</v>
      </c>
      <c r="H15" s="169"/>
      <c r="I15" s="169" t="s">
        <v>39</v>
      </c>
      <c r="J15" s="169"/>
    </row>
    <row r="16" spans="1:10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</row>
    <row r="17" spans="1:10" x14ac:dyDescent="0.2">
      <c r="A17" s="19"/>
      <c r="B17" s="137"/>
      <c r="C17" s="137"/>
      <c r="D17" s="19">
        <v>81561</v>
      </c>
      <c r="E17" s="196">
        <v>42656</v>
      </c>
      <c r="F17" s="137"/>
      <c r="G17" s="137" t="s">
        <v>1023</v>
      </c>
      <c r="H17" s="137"/>
      <c r="I17" s="138">
        <v>94606.05</v>
      </c>
      <c r="J17" s="138"/>
    </row>
    <row r="18" spans="1:10" x14ac:dyDescent="0.2">
      <c r="A18" s="82"/>
      <c r="B18" s="198"/>
      <c r="C18" s="198"/>
      <c r="D18" s="82"/>
      <c r="E18" s="198"/>
      <c r="F18" s="198"/>
      <c r="G18" s="198"/>
      <c r="H18" s="198"/>
      <c r="I18" s="199"/>
      <c r="J18" s="199"/>
    </row>
    <row r="19" spans="1:10" x14ac:dyDescent="0.2">
      <c r="A19" s="26"/>
      <c r="B19" s="236"/>
      <c r="C19" s="236"/>
      <c r="D19" s="26"/>
      <c r="E19" s="236"/>
      <c r="F19" s="236"/>
      <c r="G19" s="220"/>
      <c r="H19" s="236"/>
      <c r="I19" s="247"/>
      <c r="J19" s="247"/>
    </row>
    <row r="20" spans="1:10" x14ac:dyDescent="0.2">
      <c r="A20" s="26"/>
      <c r="B20" s="236"/>
      <c r="C20" s="236"/>
      <c r="D20" s="26"/>
      <c r="E20" s="236"/>
      <c r="F20" s="236"/>
      <c r="G20" s="236"/>
      <c r="H20" s="236"/>
      <c r="I20" s="247"/>
      <c r="J20" s="247"/>
    </row>
    <row r="21" spans="1:10" x14ac:dyDescent="0.2">
      <c r="A21" s="19"/>
      <c r="B21" s="137"/>
      <c r="C21" s="137"/>
      <c r="D21" s="19"/>
      <c r="E21" s="137"/>
      <c r="F21" s="137"/>
      <c r="G21" s="137"/>
      <c r="H21" s="137"/>
      <c r="I21" s="138"/>
      <c r="J21" s="138"/>
    </row>
    <row r="22" spans="1:10" x14ac:dyDescent="0.2">
      <c r="A22" s="26"/>
      <c r="B22" s="236"/>
      <c r="C22" s="236"/>
      <c r="D22" s="26"/>
      <c r="E22" s="227"/>
      <c r="F22" s="228"/>
      <c r="G22" s="236"/>
      <c r="H22" s="236"/>
      <c r="I22" s="247"/>
      <c r="J22" s="247"/>
    </row>
    <row r="23" spans="1:10" x14ac:dyDescent="0.2">
      <c r="A23" s="26"/>
      <c r="B23" s="236"/>
      <c r="C23" s="236"/>
      <c r="D23" s="26"/>
      <c r="E23" s="236"/>
      <c r="F23" s="236"/>
      <c r="G23" s="236"/>
      <c r="H23" s="236"/>
      <c r="I23" s="247"/>
      <c r="J23" s="247"/>
    </row>
    <row r="24" spans="1:10" x14ac:dyDescent="0.2">
      <c r="A24" s="58"/>
      <c r="B24" s="151"/>
      <c r="C24" s="151"/>
      <c r="D24" s="58"/>
      <c r="E24" s="151"/>
      <c r="F24" s="151"/>
      <c r="G24" s="151"/>
      <c r="H24" s="151"/>
      <c r="I24" s="152"/>
      <c r="J24" s="152"/>
    </row>
    <row r="25" spans="1:10" x14ac:dyDescent="0.2">
      <c r="A25" s="58"/>
      <c r="B25" s="151"/>
      <c r="C25" s="151"/>
      <c r="D25" s="58"/>
      <c r="E25" s="151"/>
      <c r="F25" s="151"/>
      <c r="G25" s="151"/>
      <c r="H25" s="151"/>
      <c r="I25" s="152"/>
      <c r="J25" s="152"/>
    </row>
    <row r="26" spans="1:10" x14ac:dyDescent="0.2">
      <c r="A26" s="58"/>
      <c r="B26" s="151"/>
      <c r="C26" s="151"/>
      <c r="D26" s="58"/>
      <c r="E26" s="151"/>
      <c r="F26" s="151"/>
      <c r="G26" s="151"/>
      <c r="H26" s="151"/>
      <c r="I26" s="152"/>
      <c r="J26" s="152"/>
    </row>
    <row r="27" spans="1:10" x14ac:dyDescent="0.2">
      <c r="A27" s="9"/>
      <c r="B27" s="128"/>
      <c r="C27" s="128"/>
      <c r="D27" s="9"/>
      <c r="E27" s="128"/>
      <c r="F27" s="128"/>
      <c r="G27" s="128"/>
      <c r="H27" s="128"/>
      <c r="I27" s="136"/>
      <c r="J27" s="136"/>
    </row>
    <row r="28" spans="1:10" ht="13.5" thickBot="1" x14ac:dyDescent="0.25">
      <c r="A28" s="9"/>
      <c r="B28" s="128"/>
      <c r="C28" s="128"/>
      <c r="D28" s="9"/>
      <c r="E28" s="128"/>
      <c r="F28" s="128"/>
      <c r="G28" s="128"/>
      <c r="H28" s="128"/>
      <c r="I28" s="226"/>
      <c r="J28" s="226"/>
    </row>
    <row r="29" spans="1:10" ht="13.5" thickTop="1" x14ac:dyDescent="0.2">
      <c r="A29" s="13"/>
      <c r="B29" s="13"/>
      <c r="C29" s="13"/>
      <c r="D29" s="13"/>
      <c r="E29" s="13"/>
      <c r="F29" s="13"/>
      <c r="G29" s="13"/>
      <c r="H29" s="13" t="s">
        <v>33</v>
      </c>
      <c r="I29" s="140">
        <f>SUM(I17:J28)</f>
        <v>94606.05</v>
      </c>
      <c r="J29" s="140"/>
    </row>
    <row r="30" spans="1:1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 x14ac:dyDescent="0.25">
      <c r="A31" s="15" t="s">
        <v>46</v>
      </c>
      <c r="B31" s="16"/>
      <c r="C31" s="16"/>
      <c r="D31" s="16"/>
      <c r="E31" s="16"/>
      <c r="F31" s="16"/>
      <c r="G31" s="16"/>
      <c r="H31" s="16"/>
      <c r="I31" s="149" t="s">
        <v>47</v>
      </c>
      <c r="J31" s="150"/>
    </row>
    <row r="32" spans="1:10" x14ac:dyDescent="0.2">
      <c r="A32" s="144" t="s">
        <v>48</v>
      </c>
      <c r="B32" s="144"/>
      <c r="C32" s="144"/>
      <c r="D32" s="144"/>
      <c r="E32" s="144"/>
      <c r="F32" s="144"/>
      <c r="G32" s="144"/>
      <c r="H32" s="144"/>
      <c r="I32" s="148">
        <f>I12*80%</f>
        <v>257836.23200000005</v>
      </c>
      <c r="J32" s="148"/>
    </row>
    <row r="33" spans="1:10" x14ac:dyDescent="0.2">
      <c r="A33" s="258" t="s">
        <v>1022</v>
      </c>
      <c r="B33" s="144"/>
      <c r="C33" s="144"/>
      <c r="D33" s="144"/>
      <c r="E33" s="144"/>
      <c r="F33" s="144"/>
      <c r="G33" s="144"/>
      <c r="H33" s="144"/>
      <c r="I33" s="184">
        <v>172600</v>
      </c>
      <c r="J33" s="184"/>
    </row>
    <row r="34" spans="1:10" x14ac:dyDescent="0.2">
      <c r="A34" s="231" t="s">
        <v>1234</v>
      </c>
      <c r="B34" s="144"/>
      <c r="C34" s="144"/>
      <c r="D34" s="144"/>
      <c r="E34" s="144"/>
      <c r="F34" s="144"/>
      <c r="G34" s="144"/>
      <c r="H34" s="144"/>
      <c r="I34" s="184">
        <v>-172600</v>
      </c>
      <c r="J34" s="184"/>
    </row>
    <row r="35" spans="1:10" x14ac:dyDescent="0.2">
      <c r="A35" s="231" t="s">
        <v>1316</v>
      </c>
      <c r="B35" s="144"/>
      <c r="C35" s="144"/>
      <c r="D35" s="144"/>
      <c r="E35" s="144"/>
      <c r="F35" s="144"/>
      <c r="G35" s="144"/>
      <c r="H35" s="144"/>
      <c r="I35" s="184">
        <v>155000</v>
      </c>
      <c r="J35" s="184"/>
    </row>
    <row r="36" spans="1:10" x14ac:dyDescent="0.2">
      <c r="A36" s="144" t="s">
        <v>1576</v>
      </c>
      <c r="B36" s="144"/>
      <c r="C36" s="144"/>
      <c r="D36" s="144"/>
      <c r="E36" s="144"/>
      <c r="F36" s="144"/>
      <c r="G36" s="144"/>
      <c r="H36" s="144"/>
      <c r="I36" s="184">
        <v>-155000</v>
      </c>
      <c r="J36" s="184"/>
    </row>
    <row r="37" spans="1:10" x14ac:dyDescent="0.2">
      <c r="A37" s="134" t="s">
        <v>1330</v>
      </c>
      <c r="B37" s="134"/>
      <c r="C37" s="134"/>
      <c r="D37" s="134"/>
      <c r="E37" s="134"/>
      <c r="F37" s="134"/>
      <c r="G37" s="134"/>
      <c r="H37" s="134"/>
      <c r="I37" s="135">
        <v>-162855</v>
      </c>
      <c r="J37" s="135"/>
    </row>
    <row r="38" spans="1:10" ht="13.5" thickBot="1" x14ac:dyDescent="0.25">
      <c r="A38" s="144" t="s">
        <v>50</v>
      </c>
      <c r="B38" s="144"/>
      <c r="C38" s="144"/>
      <c r="D38" s="144"/>
      <c r="E38" s="144"/>
      <c r="F38" s="144"/>
      <c r="G38" s="144"/>
      <c r="H38" s="144"/>
      <c r="I38" s="145">
        <f>I29</f>
        <v>94606.05</v>
      </c>
      <c r="J38" s="145"/>
    </row>
    <row r="39" spans="1:10" ht="13.5" thickTop="1" x14ac:dyDescent="0.2">
      <c r="H39" s="18" t="s">
        <v>33</v>
      </c>
      <c r="I39" s="129">
        <f>I32+I33+I34+I35+I36+I37-I38</f>
        <v>375.18200000007346</v>
      </c>
      <c r="J39" s="130"/>
    </row>
    <row r="41" spans="1:10" ht="15" x14ac:dyDescent="0.25">
      <c r="A41" s="131" t="s">
        <v>51</v>
      </c>
      <c r="B41" s="132"/>
      <c r="C41" s="132"/>
      <c r="D41" s="132"/>
      <c r="E41" s="132"/>
      <c r="F41" s="132"/>
      <c r="G41" s="132"/>
      <c r="H41" s="132"/>
      <c r="I41" s="132"/>
      <c r="J41" s="133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</sheetData>
  <mergeCells count="101">
    <mergeCell ref="A41:J41"/>
    <mergeCell ref="A42:J47"/>
    <mergeCell ref="A37:H37"/>
    <mergeCell ref="I37:J37"/>
    <mergeCell ref="I29:J29"/>
    <mergeCell ref="I31:J31"/>
    <mergeCell ref="A32:H32"/>
    <mergeCell ref="I32:J32"/>
    <mergeCell ref="A33:H33"/>
    <mergeCell ref="I33:J33"/>
    <mergeCell ref="A34:H34"/>
    <mergeCell ref="I34:J34"/>
    <mergeCell ref="A35:H35"/>
    <mergeCell ref="I35:J35"/>
    <mergeCell ref="A38:H38"/>
    <mergeCell ref="I38:J38"/>
    <mergeCell ref="I39:J39"/>
    <mergeCell ref="B27:C27"/>
    <mergeCell ref="E27:F27"/>
    <mergeCell ref="G27:H27"/>
    <mergeCell ref="I27:J27"/>
    <mergeCell ref="B28:C28"/>
    <mergeCell ref="E28:F28"/>
    <mergeCell ref="G28:H28"/>
    <mergeCell ref="I28:J28"/>
    <mergeCell ref="A36:H36"/>
    <mergeCell ref="I36:J36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18:C18"/>
    <mergeCell ref="E18:F18"/>
    <mergeCell ref="G18:H18"/>
    <mergeCell ref="I18:J18"/>
    <mergeCell ref="B19:C19"/>
    <mergeCell ref="E19:F19"/>
    <mergeCell ref="G19:H19"/>
    <mergeCell ref="I19:J19"/>
    <mergeCell ref="B20:C20"/>
    <mergeCell ref="E20:F20"/>
    <mergeCell ref="G20:H20"/>
    <mergeCell ref="I20:J20"/>
    <mergeCell ref="A14:J14"/>
    <mergeCell ref="A15:A16"/>
    <mergeCell ref="B15:C16"/>
    <mergeCell ref="D15:D16"/>
    <mergeCell ref="E15:F16"/>
    <mergeCell ref="G15:H16"/>
    <mergeCell ref="I15:J16"/>
    <mergeCell ref="B17:C17"/>
    <mergeCell ref="E17:F17"/>
    <mergeCell ref="G17:H17"/>
    <mergeCell ref="I17:J17"/>
    <mergeCell ref="B10:C10"/>
    <mergeCell ref="D10:E10"/>
    <mergeCell ref="G10:H10"/>
    <mergeCell ref="B9:C9"/>
    <mergeCell ref="D9:E9"/>
    <mergeCell ref="G9:H9"/>
    <mergeCell ref="B11:C11"/>
    <mergeCell ref="D11:E11"/>
    <mergeCell ref="G11:H11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honeticPr fontId="35" type="noConversion"/>
  <pageMargins left="0.7" right="0.7" top="0.75" bottom="0.75" header="0.3" footer="0.3"/>
  <pageSetup scale="8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0">
    <pageSetUpPr fitToPage="1"/>
  </sheetPr>
  <dimension ref="A1:J101"/>
  <sheetViews>
    <sheetView topLeftCell="A61" workbookViewId="0">
      <selection activeCell="B70" sqref="B70:C70"/>
    </sheetView>
  </sheetViews>
  <sheetFormatPr defaultRowHeight="12.75" x14ac:dyDescent="0.2"/>
  <cols>
    <col min="6" max="6" width="14.140625" customWidth="1"/>
    <col min="8" max="8" width="12.5703125" customWidth="1"/>
    <col min="9" max="10" width="13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453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69" t="s">
        <v>834</v>
      </c>
    </row>
    <row r="5" spans="1:10" x14ac:dyDescent="0.2">
      <c r="A5" s="169"/>
      <c r="B5" s="230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4535936</v>
      </c>
      <c r="C6" s="128"/>
      <c r="D6" s="128"/>
      <c r="E6" s="128"/>
      <c r="F6" s="12">
        <v>35388</v>
      </c>
      <c r="G6" s="169" t="s">
        <v>454</v>
      </c>
      <c r="H6" s="169"/>
      <c r="I6" s="32">
        <v>147665</v>
      </c>
      <c r="J6" s="32">
        <f t="shared" ref="J6:J49" si="0">I6*0.8</f>
        <v>118132</v>
      </c>
    </row>
    <row r="7" spans="1:10" x14ac:dyDescent="0.2">
      <c r="A7" s="9">
        <v>2</v>
      </c>
      <c r="B7" s="128">
        <v>4533895</v>
      </c>
      <c r="C7" s="128"/>
      <c r="D7" s="128">
        <v>4538099</v>
      </c>
      <c r="E7" s="128"/>
      <c r="F7" s="12">
        <v>40084</v>
      </c>
      <c r="G7" s="169"/>
      <c r="H7" s="169"/>
      <c r="I7" s="32">
        <v>458158.5</v>
      </c>
      <c r="J7" s="32">
        <f t="shared" si="0"/>
        <v>366526.80000000005</v>
      </c>
    </row>
    <row r="8" spans="1:10" x14ac:dyDescent="0.2">
      <c r="A8" s="9">
        <v>3</v>
      </c>
      <c r="B8" s="128">
        <v>4536304</v>
      </c>
      <c r="C8" s="128"/>
      <c r="D8" s="128">
        <v>4538307</v>
      </c>
      <c r="E8" s="128"/>
      <c r="F8" s="12">
        <v>40648</v>
      </c>
      <c r="G8" s="169"/>
      <c r="H8" s="169"/>
      <c r="I8" s="32">
        <v>167786.8</v>
      </c>
      <c r="J8" s="32">
        <f t="shared" si="0"/>
        <v>134229.44</v>
      </c>
    </row>
    <row r="9" spans="1:10" x14ac:dyDescent="0.2">
      <c r="A9" s="9">
        <v>4</v>
      </c>
      <c r="B9" s="128">
        <v>4534433</v>
      </c>
      <c r="C9" s="128"/>
      <c r="D9" s="128">
        <v>4538692</v>
      </c>
      <c r="E9" s="128"/>
      <c r="F9" s="12">
        <v>41604</v>
      </c>
      <c r="G9" s="169"/>
      <c r="H9" s="169"/>
      <c r="I9" s="32">
        <v>424942</v>
      </c>
      <c r="J9" s="32">
        <f t="shared" si="0"/>
        <v>339953.60000000003</v>
      </c>
    </row>
    <row r="10" spans="1:10" x14ac:dyDescent="0.2">
      <c r="A10" s="9">
        <v>5</v>
      </c>
      <c r="B10" s="128">
        <v>4531655</v>
      </c>
      <c r="C10" s="128"/>
      <c r="D10" s="230" t="s">
        <v>814</v>
      </c>
      <c r="E10" s="128"/>
      <c r="F10" s="12">
        <v>41604</v>
      </c>
      <c r="G10" s="169"/>
      <c r="H10" s="169"/>
      <c r="I10" s="32">
        <v>294562</v>
      </c>
      <c r="J10" s="32">
        <f t="shared" si="0"/>
        <v>235649.6</v>
      </c>
    </row>
    <row r="11" spans="1:10" x14ac:dyDescent="0.2">
      <c r="A11" s="9">
        <v>6</v>
      </c>
      <c r="B11" s="128">
        <v>4531205</v>
      </c>
      <c r="C11" s="128"/>
      <c r="D11" s="128">
        <v>4530009</v>
      </c>
      <c r="E11" s="128"/>
      <c r="F11" s="12">
        <v>42317</v>
      </c>
      <c r="G11" s="169"/>
      <c r="H11" s="169"/>
      <c r="I11" s="32">
        <v>238035</v>
      </c>
      <c r="J11" s="32">
        <f t="shared" si="0"/>
        <v>190428</v>
      </c>
    </row>
    <row r="12" spans="1:10" x14ac:dyDescent="0.2">
      <c r="A12" s="9">
        <v>7</v>
      </c>
      <c r="B12" s="128">
        <v>4532627</v>
      </c>
      <c r="C12" s="128"/>
      <c r="D12" s="128">
        <v>4530010</v>
      </c>
      <c r="E12" s="128"/>
      <c r="F12" s="12">
        <v>42317</v>
      </c>
      <c r="G12" s="169"/>
      <c r="H12" s="169"/>
      <c r="I12" s="32">
        <v>228602.6</v>
      </c>
      <c r="J12" s="32">
        <f t="shared" si="0"/>
        <v>182882.08000000002</v>
      </c>
    </row>
    <row r="13" spans="1:10" x14ac:dyDescent="0.2">
      <c r="A13" s="9">
        <v>8</v>
      </c>
      <c r="B13" s="128">
        <v>4534409</v>
      </c>
      <c r="C13" s="128"/>
      <c r="D13" s="128">
        <v>4530023</v>
      </c>
      <c r="E13" s="128"/>
      <c r="F13" s="12">
        <v>42424</v>
      </c>
      <c r="G13" s="169"/>
      <c r="H13" s="169"/>
      <c r="I13" s="32">
        <v>362810.93</v>
      </c>
      <c r="J13" s="32">
        <f t="shared" si="0"/>
        <v>290248.74400000001</v>
      </c>
    </row>
    <row r="14" spans="1:10" x14ac:dyDescent="0.2">
      <c r="A14" s="9">
        <v>9</v>
      </c>
      <c r="B14" s="128">
        <v>4534441</v>
      </c>
      <c r="C14" s="128"/>
      <c r="D14" s="128">
        <v>4530022</v>
      </c>
      <c r="E14" s="128"/>
      <c r="F14" s="12">
        <v>42424</v>
      </c>
      <c r="G14" s="169"/>
      <c r="H14" s="169"/>
      <c r="I14" s="32">
        <v>280340.5</v>
      </c>
      <c r="J14" s="32">
        <f t="shared" si="0"/>
        <v>224272.40000000002</v>
      </c>
    </row>
    <row r="15" spans="1:10" x14ac:dyDescent="0.2">
      <c r="A15" s="9">
        <v>10</v>
      </c>
      <c r="B15" s="128">
        <v>4535286</v>
      </c>
      <c r="C15" s="128"/>
      <c r="D15" s="128">
        <v>4535287</v>
      </c>
      <c r="E15" s="128"/>
      <c r="F15" s="12">
        <v>42424</v>
      </c>
      <c r="G15" s="169"/>
      <c r="H15" s="169"/>
      <c r="I15" s="32">
        <v>288153.28000000003</v>
      </c>
      <c r="J15" s="32">
        <f t="shared" si="0"/>
        <v>230522.62400000004</v>
      </c>
    </row>
    <row r="16" spans="1:10" x14ac:dyDescent="0.2">
      <c r="A16" s="9">
        <v>11</v>
      </c>
      <c r="B16" s="128">
        <v>4531620</v>
      </c>
      <c r="C16" s="128"/>
      <c r="D16" s="128">
        <v>4531621</v>
      </c>
      <c r="E16" s="128"/>
      <c r="F16" s="12">
        <v>42544</v>
      </c>
      <c r="G16" s="169"/>
      <c r="H16" s="169"/>
      <c r="I16" s="32">
        <v>288380.79999999999</v>
      </c>
      <c r="J16" s="32">
        <f t="shared" si="0"/>
        <v>230704.64000000001</v>
      </c>
    </row>
    <row r="17" spans="1:10" x14ac:dyDescent="0.2">
      <c r="A17" s="9">
        <v>12</v>
      </c>
      <c r="B17" s="128">
        <v>4536436</v>
      </c>
      <c r="C17" s="128"/>
      <c r="D17" s="128">
        <v>4530025</v>
      </c>
      <c r="E17" s="128"/>
      <c r="F17" s="12">
        <v>42544</v>
      </c>
      <c r="G17" s="169"/>
      <c r="H17" s="169"/>
      <c r="I17" s="32">
        <v>433176.5</v>
      </c>
      <c r="J17" s="32">
        <f t="shared" si="0"/>
        <v>346541.2</v>
      </c>
    </row>
    <row r="18" spans="1:10" x14ac:dyDescent="0.2">
      <c r="A18" s="9">
        <v>13</v>
      </c>
      <c r="B18" s="128">
        <v>4534905</v>
      </c>
      <c r="C18" s="128"/>
      <c r="D18" s="128">
        <v>4530024</v>
      </c>
      <c r="E18" s="128"/>
      <c r="F18" s="12">
        <v>42544</v>
      </c>
      <c r="G18" s="169"/>
      <c r="H18" s="169"/>
      <c r="I18" s="32">
        <v>334688.5</v>
      </c>
      <c r="J18" s="32">
        <f t="shared" si="0"/>
        <v>267750.8</v>
      </c>
    </row>
    <row r="19" spans="1:10" x14ac:dyDescent="0.2">
      <c r="A19" s="9">
        <v>14</v>
      </c>
      <c r="B19" s="128">
        <v>4533143</v>
      </c>
      <c r="C19" s="128"/>
      <c r="D19" s="128">
        <v>4530025</v>
      </c>
      <c r="E19" s="128"/>
      <c r="F19" s="12">
        <v>42681</v>
      </c>
      <c r="G19" s="169"/>
      <c r="H19" s="169"/>
      <c r="I19" s="32">
        <v>405155.6</v>
      </c>
      <c r="J19" s="32">
        <f t="shared" si="0"/>
        <v>324124.48</v>
      </c>
    </row>
    <row r="20" spans="1:10" x14ac:dyDescent="0.2">
      <c r="A20" s="9">
        <v>15</v>
      </c>
      <c r="B20" s="128">
        <v>4534368</v>
      </c>
      <c r="C20" s="128"/>
      <c r="D20" s="128">
        <v>4530005</v>
      </c>
      <c r="E20" s="128"/>
      <c r="F20" s="12">
        <v>42810</v>
      </c>
      <c r="G20" s="169"/>
      <c r="H20" s="169"/>
      <c r="I20" s="32">
        <v>116502.58</v>
      </c>
      <c r="J20" s="32">
        <f t="shared" si="0"/>
        <v>93202.064000000013</v>
      </c>
    </row>
    <row r="21" spans="1:10" x14ac:dyDescent="0.2">
      <c r="A21" s="9">
        <v>16</v>
      </c>
      <c r="B21" s="128">
        <v>4531930</v>
      </c>
      <c r="C21" s="128"/>
      <c r="D21" s="128">
        <v>4530002</v>
      </c>
      <c r="E21" s="128"/>
      <c r="F21" s="12">
        <v>42857</v>
      </c>
      <c r="G21" s="169"/>
      <c r="H21" s="169"/>
      <c r="I21" s="32">
        <v>88553.69</v>
      </c>
      <c r="J21" s="32">
        <f t="shared" si="0"/>
        <v>70842.952000000005</v>
      </c>
    </row>
    <row r="22" spans="1:10" x14ac:dyDescent="0.2">
      <c r="A22" s="9">
        <v>17</v>
      </c>
      <c r="B22" s="128">
        <v>4531019</v>
      </c>
      <c r="C22" s="128"/>
      <c r="D22" s="128">
        <v>4531020</v>
      </c>
      <c r="E22" s="128"/>
      <c r="F22" s="12">
        <v>42810</v>
      </c>
      <c r="G22" s="169"/>
      <c r="H22" s="169"/>
      <c r="I22" s="32">
        <v>140135.4</v>
      </c>
      <c r="J22" s="32">
        <f t="shared" si="0"/>
        <v>112108.32</v>
      </c>
    </row>
    <row r="23" spans="1:10" x14ac:dyDescent="0.2">
      <c r="A23" s="9">
        <v>18</v>
      </c>
      <c r="B23" s="128">
        <v>4531027</v>
      </c>
      <c r="C23" s="128"/>
      <c r="D23" s="128">
        <v>4531028</v>
      </c>
      <c r="E23" s="128"/>
      <c r="F23" s="12">
        <v>42912</v>
      </c>
      <c r="G23" s="169"/>
      <c r="H23" s="169"/>
      <c r="I23" s="32">
        <v>186692.63</v>
      </c>
      <c r="J23" s="32">
        <f t="shared" si="0"/>
        <v>149354.10400000002</v>
      </c>
    </row>
    <row r="24" spans="1:10" x14ac:dyDescent="0.2">
      <c r="A24" s="9">
        <v>19</v>
      </c>
      <c r="B24" s="128">
        <v>4531914</v>
      </c>
      <c r="C24" s="128"/>
      <c r="D24" s="128">
        <v>4531915</v>
      </c>
      <c r="E24" s="128"/>
      <c r="F24" s="12">
        <v>42912</v>
      </c>
      <c r="G24" s="169"/>
      <c r="H24" s="169"/>
      <c r="I24" s="32">
        <v>285525</v>
      </c>
      <c r="J24" s="32">
        <f t="shared" si="0"/>
        <v>228420</v>
      </c>
    </row>
    <row r="25" spans="1:10" x14ac:dyDescent="0.2">
      <c r="A25" s="9">
        <v>20</v>
      </c>
      <c r="B25" s="128">
        <v>4534328</v>
      </c>
      <c r="C25" s="128"/>
      <c r="D25" s="128">
        <v>4530019</v>
      </c>
      <c r="E25" s="128"/>
      <c r="F25" s="12">
        <v>42912</v>
      </c>
      <c r="G25" s="169"/>
      <c r="H25" s="169"/>
      <c r="I25" s="32">
        <v>375986.95</v>
      </c>
      <c r="J25" s="32">
        <f t="shared" si="0"/>
        <v>300789.56</v>
      </c>
    </row>
    <row r="26" spans="1:10" x14ac:dyDescent="0.2">
      <c r="A26" s="9">
        <v>21</v>
      </c>
      <c r="B26" s="128">
        <v>4534867</v>
      </c>
      <c r="C26" s="128"/>
      <c r="D26" s="128">
        <v>4534868</v>
      </c>
      <c r="E26" s="128"/>
      <c r="F26" s="12">
        <v>42912</v>
      </c>
      <c r="G26" s="169"/>
      <c r="H26" s="169"/>
      <c r="I26" s="32">
        <v>150307.07999999999</v>
      </c>
      <c r="J26" s="32">
        <f t="shared" si="0"/>
        <v>120245.66399999999</v>
      </c>
    </row>
    <row r="27" spans="1:10" x14ac:dyDescent="0.2">
      <c r="A27" s="9">
        <v>22</v>
      </c>
      <c r="B27" s="128">
        <v>4536657</v>
      </c>
      <c r="C27" s="128"/>
      <c r="D27" s="128">
        <v>4536658</v>
      </c>
      <c r="E27" s="128"/>
      <c r="F27" s="12">
        <v>42912</v>
      </c>
      <c r="G27" s="169"/>
      <c r="H27" s="169"/>
      <c r="I27" s="32">
        <v>293453.99</v>
      </c>
      <c r="J27" s="32">
        <f t="shared" si="0"/>
        <v>234763.19200000001</v>
      </c>
    </row>
    <row r="28" spans="1:10" x14ac:dyDescent="0.2">
      <c r="A28" s="9">
        <v>23</v>
      </c>
      <c r="B28" s="128">
        <v>4534700</v>
      </c>
      <c r="C28" s="128"/>
      <c r="D28" s="128">
        <v>4534701</v>
      </c>
      <c r="E28" s="128"/>
      <c r="F28" s="12">
        <v>43132</v>
      </c>
      <c r="G28" s="169"/>
      <c r="H28" s="169"/>
      <c r="I28" s="32">
        <v>338392.3</v>
      </c>
      <c r="J28" s="32">
        <f t="shared" si="0"/>
        <v>270713.84000000003</v>
      </c>
    </row>
    <row r="29" spans="1:10" x14ac:dyDescent="0.2">
      <c r="A29" s="9">
        <v>24</v>
      </c>
      <c r="B29" s="128">
        <v>4531892</v>
      </c>
      <c r="C29" s="128"/>
      <c r="D29" s="128">
        <v>4531893</v>
      </c>
      <c r="E29" s="128"/>
      <c r="F29" s="12">
        <v>43249</v>
      </c>
      <c r="G29" s="169"/>
      <c r="H29" s="169"/>
      <c r="I29" s="32">
        <v>261039</v>
      </c>
      <c r="J29" s="32">
        <f t="shared" si="0"/>
        <v>208831.2</v>
      </c>
    </row>
    <row r="30" spans="1:10" x14ac:dyDescent="0.2">
      <c r="A30" s="9">
        <v>25</v>
      </c>
      <c r="B30" s="128">
        <v>4536789</v>
      </c>
      <c r="C30" s="128"/>
      <c r="D30" s="128">
        <v>4536790</v>
      </c>
      <c r="E30" s="128"/>
      <c r="F30" s="12">
        <v>43249</v>
      </c>
      <c r="G30" s="169"/>
      <c r="H30" s="169"/>
      <c r="I30" s="32">
        <v>388547.5</v>
      </c>
      <c r="J30" s="32">
        <f t="shared" si="0"/>
        <v>310838</v>
      </c>
    </row>
    <row r="31" spans="1:10" x14ac:dyDescent="0.2">
      <c r="A31" s="9">
        <v>26</v>
      </c>
      <c r="B31" s="128">
        <v>4534522</v>
      </c>
      <c r="C31" s="128"/>
      <c r="D31" s="128">
        <v>4534523</v>
      </c>
      <c r="E31" s="128"/>
      <c r="F31" s="12">
        <v>43249</v>
      </c>
      <c r="G31" s="169"/>
      <c r="H31" s="169"/>
      <c r="I31" s="32">
        <v>273972.2</v>
      </c>
      <c r="J31" s="32">
        <f t="shared" si="0"/>
        <v>219177.76</v>
      </c>
    </row>
    <row r="32" spans="1:10" x14ac:dyDescent="0.2">
      <c r="A32" s="9">
        <v>27</v>
      </c>
      <c r="B32" s="128">
        <v>4534697</v>
      </c>
      <c r="C32" s="128"/>
      <c r="D32" s="128">
        <v>4534699</v>
      </c>
      <c r="E32" s="128"/>
      <c r="F32" s="12">
        <v>43249</v>
      </c>
      <c r="G32" s="169"/>
      <c r="H32" s="169"/>
      <c r="I32" s="32">
        <v>261427.4</v>
      </c>
      <c r="J32" s="32">
        <f t="shared" si="0"/>
        <v>209141.92</v>
      </c>
    </row>
    <row r="33" spans="1:10" x14ac:dyDescent="0.2">
      <c r="A33" s="9">
        <v>28</v>
      </c>
      <c r="B33" s="128">
        <v>4530209</v>
      </c>
      <c r="C33" s="128"/>
      <c r="D33" s="128">
        <v>4530210</v>
      </c>
      <c r="E33" s="128"/>
      <c r="F33" s="12">
        <v>43249</v>
      </c>
      <c r="G33" s="169"/>
      <c r="H33" s="169"/>
      <c r="I33" s="32">
        <v>139881.54</v>
      </c>
      <c r="J33" s="32">
        <f t="shared" si="0"/>
        <v>111905.23200000002</v>
      </c>
    </row>
    <row r="34" spans="1:10" x14ac:dyDescent="0.2">
      <c r="A34" s="9">
        <v>29</v>
      </c>
      <c r="B34" s="128">
        <v>4532198</v>
      </c>
      <c r="C34" s="128"/>
      <c r="D34" s="128">
        <v>4532199</v>
      </c>
      <c r="E34" s="128"/>
      <c r="F34" s="12">
        <v>43249</v>
      </c>
      <c r="G34" s="169"/>
      <c r="H34" s="169"/>
      <c r="I34" s="32">
        <v>342920.5</v>
      </c>
      <c r="J34" s="32">
        <f t="shared" si="0"/>
        <v>274336.40000000002</v>
      </c>
    </row>
    <row r="35" spans="1:10" x14ac:dyDescent="0.2">
      <c r="A35" s="9">
        <v>30</v>
      </c>
      <c r="B35" s="128">
        <v>4535456</v>
      </c>
      <c r="C35" s="128"/>
      <c r="D35" s="128">
        <v>4535457</v>
      </c>
      <c r="E35" s="128"/>
      <c r="F35" s="12">
        <v>43452</v>
      </c>
      <c r="G35" s="169"/>
      <c r="H35" s="169"/>
      <c r="I35" s="32">
        <v>263168.05</v>
      </c>
      <c r="J35" s="32">
        <f t="shared" si="0"/>
        <v>210534.44</v>
      </c>
    </row>
    <row r="36" spans="1:10" x14ac:dyDescent="0.2">
      <c r="A36" s="9">
        <v>31</v>
      </c>
      <c r="B36" s="128">
        <v>4535162</v>
      </c>
      <c r="C36" s="128"/>
      <c r="D36" s="128">
        <v>4535163</v>
      </c>
      <c r="E36" s="128"/>
      <c r="F36" s="12">
        <v>43452</v>
      </c>
      <c r="G36" s="169"/>
      <c r="H36" s="169"/>
      <c r="I36" s="32">
        <v>129414.5</v>
      </c>
      <c r="J36" s="32">
        <f t="shared" si="0"/>
        <v>103531.6</v>
      </c>
    </row>
    <row r="37" spans="1:10" x14ac:dyDescent="0.2">
      <c r="A37" s="9">
        <v>32</v>
      </c>
      <c r="B37" s="128">
        <v>4537939</v>
      </c>
      <c r="C37" s="128"/>
      <c r="D37" s="128">
        <v>4537940</v>
      </c>
      <c r="E37" s="128"/>
      <c r="F37" s="12">
        <v>43452</v>
      </c>
      <c r="G37" s="169"/>
      <c r="H37" s="169"/>
      <c r="I37" s="32">
        <v>373150.5</v>
      </c>
      <c r="J37" s="32">
        <f t="shared" si="0"/>
        <v>298520.40000000002</v>
      </c>
    </row>
    <row r="38" spans="1:10" x14ac:dyDescent="0.2">
      <c r="A38" s="9">
        <v>33</v>
      </c>
      <c r="B38" s="128">
        <v>4536975</v>
      </c>
      <c r="C38" s="128"/>
      <c r="D38" s="128">
        <v>4536976</v>
      </c>
      <c r="E38" s="128"/>
      <c r="F38" s="12">
        <v>43525</v>
      </c>
      <c r="G38" s="169"/>
      <c r="H38" s="169"/>
      <c r="I38" s="32">
        <v>86476.18</v>
      </c>
      <c r="J38" s="32">
        <f t="shared" si="0"/>
        <v>69180.944000000003</v>
      </c>
    </row>
    <row r="39" spans="1:10" x14ac:dyDescent="0.2">
      <c r="A39" s="9">
        <v>34</v>
      </c>
      <c r="B39" s="128">
        <v>4535162</v>
      </c>
      <c r="C39" s="128"/>
      <c r="D39" s="128">
        <v>4535163</v>
      </c>
      <c r="E39" s="128"/>
      <c r="F39" s="12">
        <v>43525</v>
      </c>
      <c r="G39" s="169"/>
      <c r="H39" s="169"/>
      <c r="I39" s="32">
        <v>129414.5</v>
      </c>
      <c r="J39" s="32">
        <f t="shared" si="0"/>
        <v>103531.6</v>
      </c>
    </row>
    <row r="40" spans="1:10" x14ac:dyDescent="0.2">
      <c r="A40" s="9">
        <v>35</v>
      </c>
      <c r="B40" s="128">
        <v>4531817</v>
      </c>
      <c r="C40" s="128"/>
      <c r="D40" s="128">
        <v>4531818</v>
      </c>
      <c r="E40" s="128"/>
      <c r="F40" s="12">
        <v>43525</v>
      </c>
      <c r="G40" s="169"/>
      <c r="H40" s="169"/>
      <c r="I40" s="32">
        <v>206351.23</v>
      </c>
      <c r="J40" s="32">
        <f t="shared" si="0"/>
        <v>165080.98400000003</v>
      </c>
    </row>
    <row r="41" spans="1:10" x14ac:dyDescent="0.2">
      <c r="A41" s="9">
        <v>36</v>
      </c>
      <c r="B41" s="128">
        <v>4536266</v>
      </c>
      <c r="C41" s="128"/>
      <c r="D41" s="137" t="s">
        <v>1151</v>
      </c>
      <c r="E41" s="128"/>
      <c r="F41" s="12">
        <v>43698</v>
      </c>
      <c r="G41" s="169"/>
      <c r="H41" s="169"/>
      <c r="I41" s="32">
        <v>189673.56</v>
      </c>
      <c r="J41" s="32">
        <f t="shared" si="0"/>
        <v>151738.848</v>
      </c>
    </row>
    <row r="42" spans="1:10" x14ac:dyDescent="0.2">
      <c r="A42" s="9">
        <v>37</v>
      </c>
      <c r="B42" s="128">
        <v>4530500</v>
      </c>
      <c r="C42" s="128"/>
      <c r="D42" s="128">
        <v>4530501</v>
      </c>
      <c r="E42" s="128"/>
      <c r="F42" s="12">
        <v>43705</v>
      </c>
      <c r="G42" s="169"/>
      <c r="H42" s="169"/>
      <c r="I42" s="32">
        <v>279629.33</v>
      </c>
      <c r="J42" s="32">
        <f t="shared" si="0"/>
        <v>223703.46400000004</v>
      </c>
    </row>
    <row r="43" spans="1:10" x14ac:dyDescent="0.2">
      <c r="A43" s="9">
        <v>38</v>
      </c>
      <c r="B43" s="128">
        <v>4536959</v>
      </c>
      <c r="C43" s="128"/>
      <c r="D43" s="128">
        <v>4536960</v>
      </c>
      <c r="E43" s="128"/>
      <c r="F43" s="12">
        <v>43711</v>
      </c>
      <c r="G43" s="169"/>
      <c r="H43" s="169"/>
      <c r="I43" s="32">
        <v>229708.58</v>
      </c>
      <c r="J43" s="32">
        <f t="shared" si="0"/>
        <v>183766.864</v>
      </c>
    </row>
    <row r="44" spans="1:10" x14ac:dyDescent="0.2">
      <c r="A44" s="9">
        <v>39</v>
      </c>
      <c r="B44" s="128">
        <v>4534581</v>
      </c>
      <c r="C44" s="128"/>
      <c r="D44" s="128">
        <v>4534582</v>
      </c>
      <c r="E44" s="128"/>
      <c r="F44" s="12">
        <v>43713</v>
      </c>
      <c r="G44" s="169"/>
      <c r="H44" s="169"/>
      <c r="I44" s="32">
        <v>321379.8</v>
      </c>
      <c r="J44" s="32">
        <f t="shared" si="0"/>
        <v>257103.84</v>
      </c>
    </row>
    <row r="45" spans="1:10" x14ac:dyDescent="0.2">
      <c r="A45" s="9">
        <v>40</v>
      </c>
      <c r="B45" s="128">
        <v>4537211</v>
      </c>
      <c r="C45" s="128"/>
      <c r="D45" s="128">
        <v>4537212</v>
      </c>
      <c r="E45" s="128"/>
      <c r="F45" s="12">
        <v>43713</v>
      </c>
      <c r="G45" s="169"/>
      <c r="H45" s="169"/>
      <c r="I45" s="32">
        <v>408396.05</v>
      </c>
      <c r="J45" s="32">
        <f t="shared" si="0"/>
        <v>326716.84000000003</v>
      </c>
    </row>
    <row r="46" spans="1:10" x14ac:dyDescent="0.2">
      <c r="A46" s="9">
        <v>41</v>
      </c>
      <c r="B46" s="128">
        <v>4530500</v>
      </c>
      <c r="C46" s="128"/>
      <c r="D46" s="128">
        <v>4530501</v>
      </c>
      <c r="E46" s="128"/>
      <c r="F46" s="12">
        <v>43896</v>
      </c>
      <c r="G46" s="169"/>
      <c r="H46" s="169"/>
      <c r="I46" s="32">
        <v>279629.33</v>
      </c>
      <c r="J46" s="32">
        <f t="shared" si="0"/>
        <v>223703.46400000004</v>
      </c>
    </row>
    <row r="47" spans="1:10" x14ac:dyDescent="0.2">
      <c r="A47" s="9">
        <v>42</v>
      </c>
      <c r="B47" s="128">
        <v>4530411</v>
      </c>
      <c r="C47" s="128"/>
      <c r="D47" s="128">
        <v>4530412</v>
      </c>
      <c r="E47" s="128"/>
      <c r="F47" s="12">
        <v>44228</v>
      </c>
      <c r="G47" s="255" t="s">
        <v>1441</v>
      </c>
      <c r="H47" s="169"/>
      <c r="I47" s="32">
        <v>410075.33</v>
      </c>
      <c r="J47" s="32">
        <f t="shared" si="0"/>
        <v>328060.26400000002</v>
      </c>
    </row>
    <row r="48" spans="1:10" x14ac:dyDescent="0.2">
      <c r="A48" s="9">
        <v>43</v>
      </c>
      <c r="B48" s="128">
        <v>4531604</v>
      </c>
      <c r="C48" s="128"/>
      <c r="D48" s="128">
        <v>4531605</v>
      </c>
      <c r="E48" s="128"/>
      <c r="F48" s="12">
        <v>44305</v>
      </c>
      <c r="G48" s="169"/>
      <c r="H48" s="169"/>
      <c r="I48" s="32">
        <v>397169.78</v>
      </c>
      <c r="J48" s="32">
        <f t="shared" si="0"/>
        <v>317735.82400000002</v>
      </c>
    </row>
    <row r="49" spans="1:10" x14ac:dyDescent="0.2">
      <c r="A49" s="9">
        <v>44</v>
      </c>
      <c r="B49" s="128">
        <v>4531566</v>
      </c>
      <c r="C49" s="128"/>
      <c r="D49" s="128">
        <v>4531567</v>
      </c>
      <c r="E49" s="128"/>
      <c r="F49" s="12">
        <v>44305</v>
      </c>
      <c r="G49" s="169"/>
      <c r="H49" s="169"/>
      <c r="I49" s="32">
        <v>1911375.13</v>
      </c>
      <c r="J49" s="32">
        <f t="shared" si="0"/>
        <v>1529100.1040000001</v>
      </c>
    </row>
    <row r="50" spans="1:10" x14ac:dyDescent="0.2">
      <c r="A50" s="9"/>
      <c r="B50" s="128"/>
      <c r="C50" s="128"/>
      <c r="D50" s="128"/>
      <c r="E50" s="128"/>
      <c r="F50" s="12"/>
      <c r="G50" s="169"/>
      <c r="H50" s="169"/>
      <c r="I50" s="32"/>
      <c r="J50" s="32"/>
    </row>
    <row r="51" spans="1:10" x14ac:dyDescent="0.2">
      <c r="A51" s="9"/>
      <c r="B51" s="128"/>
      <c r="C51" s="128"/>
      <c r="D51" s="128"/>
      <c r="E51" s="128"/>
      <c r="F51" s="12"/>
      <c r="G51" s="169"/>
      <c r="H51" s="169"/>
      <c r="I51" s="32"/>
      <c r="J51" s="32"/>
    </row>
    <row r="52" spans="1:10" x14ac:dyDescent="0.2">
      <c r="A52" s="9"/>
      <c r="B52" s="128"/>
      <c r="C52" s="128"/>
      <c r="D52" s="128"/>
      <c r="E52" s="128"/>
      <c r="F52" s="12"/>
      <c r="G52" s="169"/>
      <c r="H52" s="169"/>
      <c r="I52" s="32"/>
      <c r="J52" s="32"/>
    </row>
    <row r="53" spans="1:10" x14ac:dyDescent="0.2">
      <c r="A53" s="13"/>
      <c r="B53" s="13"/>
      <c r="C53" s="13"/>
      <c r="D53" s="13"/>
      <c r="E53" s="13"/>
      <c r="F53" s="13"/>
      <c r="G53" s="13"/>
      <c r="H53" s="13" t="s">
        <v>33</v>
      </c>
      <c r="I53" s="33">
        <f>SUM(I6:I52)</f>
        <v>13610807.620000001</v>
      </c>
      <c r="J53" s="33">
        <f>SUM(J6:J52)</f>
        <v>10888646.095999999</v>
      </c>
    </row>
    <row r="54" spans="1:10" x14ac:dyDescent="0.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 x14ac:dyDescent="0.25">
      <c r="A55" s="131" t="s">
        <v>34</v>
      </c>
      <c r="B55" s="132"/>
      <c r="C55" s="132"/>
      <c r="D55" s="132"/>
      <c r="E55" s="132"/>
      <c r="F55" s="132"/>
      <c r="G55" s="132"/>
      <c r="H55" s="132"/>
      <c r="I55" s="132"/>
      <c r="J55" s="133"/>
    </row>
    <row r="56" spans="1:10" x14ac:dyDescent="0.2">
      <c r="A56" s="169" t="s">
        <v>23</v>
      </c>
      <c r="B56" s="169" t="s">
        <v>35</v>
      </c>
      <c r="C56" s="169"/>
      <c r="D56" s="169" t="s">
        <v>36</v>
      </c>
      <c r="E56" s="169" t="s">
        <v>37</v>
      </c>
      <c r="F56" s="169"/>
      <c r="G56" s="169" t="s">
        <v>38</v>
      </c>
      <c r="H56" s="169"/>
      <c r="I56" s="169" t="s">
        <v>39</v>
      </c>
      <c r="J56" s="169"/>
    </row>
    <row r="57" spans="1:10" x14ac:dyDescent="0.2">
      <c r="A57" s="169"/>
      <c r="B57" s="169"/>
      <c r="C57" s="169"/>
      <c r="D57" s="169"/>
      <c r="E57" s="169"/>
      <c r="F57" s="169"/>
      <c r="G57" s="169"/>
      <c r="H57" s="169"/>
      <c r="I57" s="169"/>
      <c r="J57" s="169"/>
    </row>
    <row r="58" spans="1:10" x14ac:dyDescent="0.2">
      <c r="A58" s="19">
        <v>1</v>
      </c>
      <c r="B58" s="137"/>
      <c r="C58" s="137"/>
      <c r="D58" s="19">
        <v>84884</v>
      </c>
      <c r="E58" s="137"/>
      <c r="F58" s="137"/>
      <c r="G58" s="137" t="s">
        <v>456</v>
      </c>
      <c r="H58" s="137"/>
      <c r="I58" s="138">
        <v>314982.34999999998</v>
      </c>
      <c r="J58" s="138"/>
    </row>
    <row r="59" spans="1:10" x14ac:dyDescent="0.2">
      <c r="A59" s="19"/>
      <c r="B59" s="137"/>
      <c r="C59" s="137"/>
      <c r="D59" s="19">
        <v>87270</v>
      </c>
      <c r="E59" s="137" t="s">
        <v>864</v>
      </c>
      <c r="F59" s="137"/>
      <c r="G59" s="137"/>
      <c r="H59" s="137"/>
      <c r="I59" s="138">
        <v>58314</v>
      </c>
      <c r="J59" s="138"/>
    </row>
    <row r="60" spans="1:10" x14ac:dyDescent="0.2">
      <c r="A60" s="19"/>
      <c r="B60" s="137"/>
      <c r="C60" s="137"/>
      <c r="D60" s="19">
        <v>89297</v>
      </c>
      <c r="E60" s="162">
        <v>41774</v>
      </c>
      <c r="F60" s="165"/>
      <c r="G60" s="137" t="s">
        <v>1042</v>
      </c>
      <c r="H60" s="137"/>
      <c r="I60" s="138">
        <v>55514.59</v>
      </c>
      <c r="J60" s="138"/>
    </row>
    <row r="61" spans="1:10" x14ac:dyDescent="0.2">
      <c r="A61" s="19"/>
      <c r="B61" s="137"/>
      <c r="C61" s="137"/>
      <c r="D61" s="19">
        <v>88870</v>
      </c>
      <c r="E61" s="137" t="s">
        <v>912</v>
      </c>
      <c r="F61" s="137"/>
      <c r="G61" s="137"/>
      <c r="H61" s="137"/>
      <c r="I61" s="138">
        <v>7155.08</v>
      </c>
      <c r="J61" s="138"/>
    </row>
    <row r="62" spans="1:10" x14ac:dyDescent="0.2">
      <c r="A62" s="19"/>
      <c r="B62" s="137"/>
      <c r="C62" s="137"/>
      <c r="D62" s="19">
        <v>90189</v>
      </c>
      <c r="E62" s="137" t="s">
        <v>939</v>
      </c>
      <c r="F62" s="137"/>
      <c r="G62" s="137"/>
      <c r="H62" s="137"/>
      <c r="I62" s="138">
        <v>9674.2000000000007</v>
      </c>
      <c r="J62" s="138"/>
    </row>
    <row r="63" spans="1:10" x14ac:dyDescent="0.2">
      <c r="A63" s="19"/>
      <c r="B63" s="137"/>
      <c r="C63" s="137"/>
      <c r="D63" s="19">
        <v>92742</v>
      </c>
      <c r="E63" s="137" t="s">
        <v>1009</v>
      </c>
      <c r="F63" s="137"/>
      <c r="G63" s="137"/>
      <c r="H63" s="137"/>
      <c r="I63" s="138">
        <v>9308.2000000000007</v>
      </c>
      <c r="J63" s="138"/>
    </row>
    <row r="64" spans="1:10" x14ac:dyDescent="0.2">
      <c r="A64" s="19"/>
      <c r="B64" s="137"/>
      <c r="C64" s="137"/>
      <c r="D64" s="19">
        <v>94450</v>
      </c>
      <c r="E64" s="137"/>
      <c r="F64" s="137"/>
      <c r="G64" s="137" t="s">
        <v>1018</v>
      </c>
      <c r="H64" s="137"/>
      <c r="I64" s="138">
        <f>67459.5*1.05+1327+3000</f>
        <v>75159.475000000006</v>
      </c>
      <c r="J64" s="138"/>
    </row>
    <row r="65" spans="1:10" x14ac:dyDescent="0.2">
      <c r="A65" s="19"/>
      <c r="B65" s="137"/>
      <c r="C65" s="137"/>
      <c r="D65" s="19">
        <v>93896</v>
      </c>
      <c r="E65" s="137" t="s">
        <v>1027</v>
      </c>
      <c r="F65" s="137"/>
      <c r="G65" s="137"/>
      <c r="H65" s="137"/>
      <c r="I65" s="138">
        <v>10414.200000000001</v>
      </c>
      <c r="J65" s="138"/>
    </row>
    <row r="66" spans="1:10" x14ac:dyDescent="0.2">
      <c r="A66" s="19"/>
      <c r="B66" s="137"/>
      <c r="C66" s="137"/>
      <c r="D66" s="19">
        <v>89158</v>
      </c>
      <c r="E66" s="162">
        <v>43242</v>
      </c>
      <c r="F66" s="165"/>
      <c r="G66" s="137" t="s">
        <v>898</v>
      </c>
      <c r="H66" s="137"/>
      <c r="I66" s="138">
        <v>145379.74</v>
      </c>
      <c r="J66" s="138"/>
    </row>
    <row r="67" spans="1:10" x14ac:dyDescent="0.2">
      <c r="A67" s="19"/>
      <c r="B67" s="137"/>
      <c r="C67" s="137"/>
      <c r="D67" s="19">
        <v>101744</v>
      </c>
      <c r="E67" s="164"/>
      <c r="F67" s="165"/>
      <c r="G67" s="137" t="s">
        <v>1187</v>
      </c>
      <c r="H67" s="137"/>
      <c r="I67" s="138">
        <v>62664.27</v>
      </c>
      <c r="J67" s="138"/>
    </row>
    <row r="68" spans="1:10" x14ac:dyDescent="0.2">
      <c r="A68" s="19"/>
      <c r="B68" s="137"/>
      <c r="C68" s="137"/>
      <c r="D68" s="19">
        <v>105920</v>
      </c>
      <c r="E68" s="125">
        <v>44258</v>
      </c>
      <c r="F68" s="165"/>
      <c r="G68" s="137" t="s">
        <v>1201</v>
      </c>
      <c r="H68" s="137"/>
      <c r="I68" s="138">
        <v>48189.22</v>
      </c>
      <c r="J68" s="138"/>
    </row>
    <row r="69" spans="1:10" x14ac:dyDescent="0.2">
      <c r="A69" s="82"/>
      <c r="B69" s="198"/>
      <c r="C69" s="198"/>
      <c r="D69" s="82">
        <v>105921</v>
      </c>
      <c r="E69" s="157"/>
      <c r="F69" s="156"/>
      <c r="G69" s="198" t="s">
        <v>1215</v>
      </c>
      <c r="H69" s="198"/>
      <c r="I69" s="199">
        <v>202677.97</v>
      </c>
      <c r="J69" s="199"/>
    </row>
    <row r="70" spans="1:10" x14ac:dyDescent="0.2">
      <c r="A70" s="82"/>
      <c r="B70" s="198"/>
      <c r="C70" s="198"/>
      <c r="D70" s="82"/>
      <c r="E70" s="157"/>
      <c r="F70" s="156"/>
      <c r="G70" s="198"/>
      <c r="H70" s="198"/>
      <c r="I70" s="199"/>
      <c r="J70" s="199"/>
    </row>
    <row r="71" spans="1:10" x14ac:dyDescent="0.2">
      <c r="A71" s="26"/>
      <c r="B71" s="236"/>
      <c r="C71" s="236"/>
      <c r="D71" s="26"/>
      <c r="E71" s="227"/>
      <c r="F71" s="228"/>
      <c r="G71" s="236"/>
      <c r="H71" s="236"/>
      <c r="I71" s="247"/>
      <c r="J71" s="247"/>
    </row>
    <row r="72" spans="1:10" ht="13.5" thickBot="1" x14ac:dyDescent="0.25">
      <c r="A72" s="9"/>
      <c r="B72" s="128"/>
      <c r="C72" s="128"/>
      <c r="D72" s="9"/>
      <c r="E72" s="128"/>
      <c r="F72" s="128"/>
      <c r="G72" s="128"/>
      <c r="H72" s="128"/>
      <c r="I72" s="226"/>
      <c r="J72" s="226"/>
    </row>
    <row r="73" spans="1:10" ht="13.5" thickTop="1" x14ac:dyDescent="0.2">
      <c r="A73" s="13"/>
      <c r="B73" s="13"/>
      <c r="C73" s="13"/>
      <c r="D73" s="13"/>
      <c r="E73" s="13"/>
      <c r="F73" s="13"/>
      <c r="G73" s="13"/>
      <c r="H73" s="13" t="s">
        <v>33</v>
      </c>
      <c r="I73" s="140">
        <f>SUM(I58:J72)</f>
        <v>999433.29499999993</v>
      </c>
      <c r="J73" s="140"/>
    </row>
    <row r="74" spans="1:1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" x14ac:dyDescent="0.25">
      <c r="A75" s="15" t="s">
        <v>46</v>
      </c>
      <c r="B75" s="16"/>
      <c r="C75" s="16"/>
      <c r="D75" s="16"/>
      <c r="E75" s="16"/>
      <c r="F75" s="16"/>
      <c r="G75" s="16"/>
      <c r="H75" s="16"/>
      <c r="I75" s="149" t="s">
        <v>47</v>
      </c>
      <c r="J75" s="150"/>
    </row>
    <row r="76" spans="1:10" x14ac:dyDescent="0.2">
      <c r="A76" s="144" t="s">
        <v>48</v>
      </c>
      <c r="B76" s="144"/>
      <c r="C76" s="144"/>
      <c r="D76" s="144"/>
      <c r="E76" s="144"/>
      <c r="F76" s="144"/>
      <c r="G76" s="144"/>
      <c r="H76" s="144"/>
      <c r="I76" s="148">
        <f>I53*80%</f>
        <v>10888646.096000001</v>
      </c>
      <c r="J76" s="148"/>
    </row>
    <row r="77" spans="1:10" x14ac:dyDescent="0.2">
      <c r="A77" s="144" t="s">
        <v>49</v>
      </c>
      <c r="B77" s="144"/>
      <c r="C77" s="144"/>
      <c r="D77" s="144"/>
      <c r="E77" s="144"/>
      <c r="F77" s="144"/>
      <c r="G77" s="144"/>
      <c r="H77" s="144"/>
      <c r="I77" s="184">
        <v>-94764</v>
      </c>
      <c r="J77" s="184"/>
    </row>
    <row r="78" spans="1:10" x14ac:dyDescent="0.2">
      <c r="A78" s="134" t="s">
        <v>1134</v>
      </c>
      <c r="B78" s="134"/>
      <c r="C78" s="134"/>
      <c r="D78" s="134"/>
      <c r="E78" s="134"/>
      <c r="F78" s="134"/>
      <c r="G78" s="134"/>
      <c r="H78" s="134"/>
      <c r="I78" s="135">
        <v>-102169.9</v>
      </c>
      <c r="J78" s="135"/>
    </row>
    <row r="79" spans="1:10" x14ac:dyDescent="0.2">
      <c r="A79" s="231" t="s">
        <v>1155</v>
      </c>
      <c r="B79" s="231"/>
      <c r="C79" s="231"/>
      <c r="D79" s="231"/>
      <c r="E79" s="231"/>
      <c r="F79" s="231"/>
      <c r="G79" s="231"/>
      <c r="H79" s="231"/>
      <c r="I79" s="254">
        <v>-200000</v>
      </c>
      <c r="J79" s="254"/>
    </row>
    <row r="80" spans="1:10" x14ac:dyDescent="0.2">
      <c r="A80" s="231" t="s">
        <v>1159</v>
      </c>
      <c r="B80" s="231"/>
      <c r="C80" s="231"/>
      <c r="D80" s="231"/>
      <c r="E80" s="231"/>
      <c r="F80" s="231"/>
      <c r="G80" s="231"/>
      <c r="H80" s="231"/>
      <c r="I80" s="254">
        <v>-100000</v>
      </c>
      <c r="J80" s="254"/>
    </row>
    <row r="81" spans="1:10" x14ac:dyDescent="0.2">
      <c r="A81" s="231" t="s">
        <v>1206</v>
      </c>
      <c r="B81" s="231"/>
      <c r="C81" s="231"/>
      <c r="D81" s="231"/>
      <c r="E81" s="231"/>
      <c r="F81" s="231"/>
      <c r="G81" s="231"/>
      <c r="H81" s="231"/>
      <c r="I81" s="254">
        <v>-1750000</v>
      </c>
      <c r="J81" s="254"/>
    </row>
    <row r="82" spans="1:10" x14ac:dyDescent="0.2">
      <c r="A82" s="231" t="s">
        <v>1221</v>
      </c>
      <c r="B82" s="231"/>
      <c r="C82" s="231"/>
      <c r="D82" s="231"/>
      <c r="E82" s="231"/>
      <c r="F82" s="231"/>
      <c r="G82" s="231"/>
      <c r="H82" s="231"/>
      <c r="I82" s="254">
        <v>-112500</v>
      </c>
      <c r="J82" s="254"/>
    </row>
    <row r="83" spans="1:10" x14ac:dyDescent="0.2">
      <c r="A83" s="231" t="s">
        <v>1288</v>
      </c>
      <c r="B83" s="231"/>
      <c r="C83" s="231"/>
      <c r="D83" s="231"/>
      <c r="E83" s="231"/>
      <c r="F83" s="231"/>
      <c r="G83" s="231"/>
      <c r="H83" s="231"/>
      <c r="I83" s="254">
        <v>-164000</v>
      </c>
      <c r="J83" s="254"/>
    </row>
    <row r="84" spans="1:10" x14ac:dyDescent="0.2">
      <c r="A84" s="134" t="s">
        <v>1337</v>
      </c>
      <c r="B84" s="134"/>
      <c r="C84" s="134"/>
      <c r="D84" s="134"/>
      <c r="E84" s="134"/>
      <c r="F84" s="134"/>
      <c r="G84" s="134"/>
      <c r="H84" s="134"/>
      <c r="I84" s="135">
        <v>-45920.33</v>
      </c>
      <c r="J84" s="135"/>
    </row>
    <row r="85" spans="1:10" x14ac:dyDescent="0.2">
      <c r="A85" s="134" t="s">
        <v>1399</v>
      </c>
      <c r="B85" s="134"/>
      <c r="C85" s="134"/>
      <c r="D85" s="134"/>
      <c r="E85" s="134"/>
      <c r="F85" s="134"/>
      <c r="G85" s="134"/>
      <c r="H85" s="134"/>
      <c r="I85" s="135">
        <v>-75972.02</v>
      </c>
      <c r="J85" s="135"/>
    </row>
    <row r="86" spans="1:10" x14ac:dyDescent="0.2">
      <c r="A86" s="231" t="s">
        <v>1446</v>
      </c>
      <c r="B86" s="231"/>
      <c r="C86" s="231"/>
      <c r="D86" s="231"/>
      <c r="E86" s="231"/>
      <c r="F86" s="231"/>
      <c r="G86" s="231"/>
      <c r="H86" s="231"/>
      <c r="I86" s="254">
        <v>-200000</v>
      </c>
      <c r="J86" s="254"/>
    </row>
    <row r="87" spans="1:10" x14ac:dyDescent="0.2">
      <c r="A87" s="144" t="s">
        <v>1508</v>
      </c>
      <c r="B87" s="144"/>
      <c r="C87" s="144"/>
      <c r="D87" s="144"/>
      <c r="E87" s="144"/>
      <c r="F87" s="144"/>
      <c r="G87" s="144"/>
      <c r="H87" s="144"/>
      <c r="I87" s="148">
        <v>-200000</v>
      </c>
      <c r="J87" s="148"/>
    </row>
    <row r="88" spans="1:10" x14ac:dyDescent="0.2">
      <c r="A88" s="134" t="s">
        <v>1530</v>
      </c>
      <c r="B88" s="134"/>
      <c r="C88" s="134"/>
      <c r="D88" s="134"/>
      <c r="E88" s="134"/>
      <c r="F88" s="134"/>
      <c r="G88" s="134"/>
      <c r="H88" s="134"/>
      <c r="I88" s="135">
        <v>-628843.97</v>
      </c>
      <c r="J88" s="135"/>
    </row>
    <row r="89" spans="1:10" x14ac:dyDescent="0.2">
      <c r="A89" s="134" t="s">
        <v>1560</v>
      </c>
      <c r="B89" s="134"/>
      <c r="C89" s="134"/>
      <c r="D89" s="134"/>
      <c r="E89" s="134"/>
      <c r="F89" s="134"/>
      <c r="G89" s="134"/>
      <c r="H89" s="134"/>
      <c r="I89" s="135">
        <v>-166872.23000000001</v>
      </c>
      <c r="J89" s="135"/>
    </row>
    <row r="90" spans="1:10" x14ac:dyDescent="0.2">
      <c r="A90" s="134"/>
      <c r="B90" s="134"/>
      <c r="C90" s="134"/>
      <c r="D90" s="134"/>
      <c r="E90" s="134"/>
      <c r="F90" s="134"/>
      <c r="G90" s="134"/>
      <c r="H90" s="134"/>
      <c r="I90" s="135"/>
      <c r="J90" s="135"/>
    </row>
    <row r="91" spans="1:10" x14ac:dyDescent="0.2">
      <c r="A91" s="134"/>
      <c r="B91" s="134"/>
      <c r="C91" s="134"/>
      <c r="D91" s="134"/>
      <c r="E91" s="134"/>
      <c r="F91" s="134"/>
      <c r="G91" s="134"/>
      <c r="H91" s="134"/>
      <c r="I91" s="135"/>
      <c r="J91" s="135"/>
    </row>
    <row r="92" spans="1:10" ht="13.5" thickBot="1" x14ac:dyDescent="0.25">
      <c r="A92" s="144" t="s">
        <v>50</v>
      </c>
      <c r="B92" s="144"/>
      <c r="C92" s="144"/>
      <c r="D92" s="144"/>
      <c r="E92" s="144"/>
      <c r="F92" s="144"/>
      <c r="G92" s="144"/>
      <c r="H92" s="144"/>
      <c r="I92" s="145">
        <f>I73</f>
        <v>999433.29499999993</v>
      </c>
      <c r="J92" s="145"/>
    </row>
    <row r="93" spans="1:10" ht="13.5" thickTop="1" x14ac:dyDescent="0.2">
      <c r="H93" s="18" t="s">
        <v>33</v>
      </c>
      <c r="I93" s="129">
        <f>I76+I77+I78+I79+I80+I81+I82+I83+I84+I85+I86+I87+I88+I89-I92</f>
        <v>6048170.3510000007</v>
      </c>
      <c r="J93" s="130"/>
    </row>
    <row r="95" spans="1:10" ht="15" x14ac:dyDescent="0.25">
      <c r="A95" s="131" t="s">
        <v>51</v>
      </c>
      <c r="B95" s="132"/>
      <c r="C95" s="132"/>
      <c r="D95" s="132"/>
      <c r="E95" s="132"/>
      <c r="F95" s="132"/>
      <c r="G95" s="132"/>
      <c r="H95" s="132"/>
      <c r="I95" s="132"/>
      <c r="J95" s="133"/>
    </row>
    <row r="96" spans="1:10" x14ac:dyDescent="0.2">
      <c r="A96" s="139" t="s">
        <v>455</v>
      </c>
      <c r="B96" s="139"/>
      <c r="C96" s="139"/>
      <c r="D96" s="139"/>
      <c r="E96" s="139"/>
      <c r="F96" s="139"/>
      <c r="G96" s="139"/>
      <c r="H96" s="139"/>
      <c r="I96" s="139"/>
      <c r="J96" s="139"/>
    </row>
    <row r="97" spans="1:10" x14ac:dyDescent="0.2">
      <c r="A97" s="139"/>
      <c r="B97" s="139"/>
      <c r="C97" s="139"/>
      <c r="D97" s="139"/>
      <c r="E97" s="139"/>
      <c r="F97" s="139"/>
      <c r="G97" s="139"/>
      <c r="H97" s="139"/>
      <c r="I97" s="139"/>
      <c r="J97" s="139"/>
    </row>
    <row r="98" spans="1:10" x14ac:dyDescent="0.2">
      <c r="A98" s="139"/>
      <c r="B98" s="139"/>
      <c r="C98" s="139"/>
      <c r="D98" s="139"/>
      <c r="E98" s="139"/>
      <c r="F98" s="139"/>
      <c r="G98" s="139"/>
      <c r="H98" s="139"/>
      <c r="I98" s="139"/>
      <c r="J98" s="139"/>
    </row>
    <row r="99" spans="1:10" x14ac:dyDescent="0.2">
      <c r="A99" s="139"/>
      <c r="B99" s="139"/>
      <c r="C99" s="139"/>
      <c r="D99" s="139"/>
      <c r="E99" s="139"/>
      <c r="F99" s="139"/>
      <c r="G99" s="139"/>
      <c r="H99" s="139"/>
      <c r="I99" s="139"/>
      <c r="J99" s="139"/>
    </row>
    <row r="100" spans="1:10" x14ac:dyDescent="0.2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</row>
    <row r="101" spans="1:10" x14ac:dyDescent="0.2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</row>
  </sheetData>
  <mergeCells count="256">
    <mergeCell ref="I66:J66"/>
    <mergeCell ref="I71:J71"/>
    <mergeCell ref="I72:J72"/>
    <mergeCell ref="I73:J73"/>
    <mergeCell ref="I70:J70"/>
    <mergeCell ref="D33:E33"/>
    <mergeCell ref="G45:H45"/>
    <mergeCell ref="B47:C47"/>
    <mergeCell ref="D47:E47"/>
    <mergeCell ref="D46:E46"/>
    <mergeCell ref="B48:C48"/>
    <mergeCell ref="D48:E48"/>
    <mergeCell ref="B46:C46"/>
    <mergeCell ref="B58:C58"/>
    <mergeCell ref="E58:F58"/>
    <mergeCell ref="B65:C65"/>
    <mergeCell ref="G52:H52"/>
    <mergeCell ref="B51:C51"/>
    <mergeCell ref="G56:H57"/>
    <mergeCell ref="B50:C50"/>
    <mergeCell ref="D50:E50"/>
    <mergeCell ref="G50:H50"/>
    <mergeCell ref="B59:C59"/>
    <mergeCell ref="E59:F59"/>
    <mergeCell ref="G31:H31"/>
    <mergeCell ref="G33:H33"/>
    <mergeCell ref="G36:H36"/>
    <mergeCell ref="B34:C34"/>
    <mergeCell ref="B43:C43"/>
    <mergeCell ref="D43:E43"/>
    <mergeCell ref="D31:E31"/>
    <mergeCell ref="B45:C45"/>
    <mergeCell ref="D45:E45"/>
    <mergeCell ref="G32:H32"/>
    <mergeCell ref="B31:C31"/>
    <mergeCell ref="B35:C35"/>
    <mergeCell ref="D35:E35"/>
    <mergeCell ref="G41:H41"/>
    <mergeCell ref="D34:E34"/>
    <mergeCell ref="G34:H34"/>
    <mergeCell ref="D36:E36"/>
    <mergeCell ref="B44:C44"/>
    <mergeCell ref="D44:E44"/>
    <mergeCell ref="D51:E51"/>
    <mergeCell ref="B56:C57"/>
    <mergeCell ref="E63:F63"/>
    <mergeCell ref="G64:H64"/>
    <mergeCell ref="E64:F64"/>
    <mergeCell ref="B63:C63"/>
    <mergeCell ref="E65:F65"/>
    <mergeCell ref="G65:H65"/>
    <mergeCell ref="G59:H59"/>
    <mergeCell ref="I64:J64"/>
    <mergeCell ref="I67:J67"/>
    <mergeCell ref="B66:C66"/>
    <mergeCell ref="B70:C70"/>
    <mergeCell ref="E70:F70"/>
    <mergeCell ref="I63:J63"/>
    <mergeCell ref="A88:H88"/>
    <mergeCell ref="I88:J88"/>
    <mergeCell ref="I69:J69"/>
    <mergeCell ref="E69:F69"/>
    <mergeCell ref="I68:J68"/>
    <mergeCell ref="B69:C69"/>
    <mergeCell ref="E68:F68"/>
    <mergeCell ref="E66:F66"/>
    <mergeCell ref="B68:C68"/>
    <mergeCell ref="A79:H79"/>
    <mergeCell ref="A81:H81"/>
    <mergeCell ref="I81:J81"/>
    <mergeCell ref="A76:H76"/>
    <mergeCell ref="I76:J76"/>
    <mergeCell ref="A78:H78"/>
    <mergeCell ref="I78:J78"/>
    <mergeCell ref="I75:J75"/>
    <mergeCell ref="G72:H72"/>
    <mergeCell ref="B71:C71"/>
    <mergeCell ref="E71:F71"/>
    <mergeCell ref="B67:C67"/>
    <mergeCell ref="E67:F67"/>
    <mergeCell ref="B52:C52"/>
    <mergeCell ref="E56:F57"/>
    <mergeCell ref="G61:H61"/>
    <mergeCell ref="G66:H66"/>
    <mergeCell ref="G67:H67"/>
    <mergeCell ref="G68:H68"/>
    <mergeCell ref="G71:H71"/>
    <mergeCell ref="G69:H69"/>
    <mergeCell ref="B64:C64"/>
    <mergeCell ref="G63:H63"/>
    <mergeCell ref="I56:J57"/>
    <mergeCell ref="I65:J65"/>
    <mergeCell ref="G70:H70"/>
    <mergeCell ref="A95:J95"/>
    <mergeCell ref="A96:J101"/>
    <mergeCell ref="A77:H77"/>
    <mergeCell ref="I77:J77"/>
    <mergeCell ref="A92:H92"/>
    <mergeCell ref="I92:J92"/>
    <mergeCell ref="I82:J82"/>
    <mergeCell ref="A85:H85"/>
    <mergeCell ref="I85:J85"/>
    <mergeCell ref="I84:J84"/>
    <mergeCell ref="I93:J93"/>
    <mergeCell ref="A80:H80"/>
    <mergeCell ref="I80:J80"/>
    <mergeCell ref="I79:J79"/>
    <mergeCell ref="A82:H82"/>
    <mergeCell ref="A84:H84"/>
    <mergeCell ref="A83:H83"/>
    <mergeCell ref="I83:J83"/>
    <mergeCell ref="A91:H91"/>
    <mergeCell ref="I91:J91"/>
    <mergeCell ref="A86:H86"/>
    <mergeCell ref="I86:J86"/>
    <mergeCell ref="A90:H90"/>
    <mergeCell ref="I90:J90"/>
    <mergeCell ref="D29:E29"/>
    <mergeCell ref="G29:H29"/>
    <mergeCell ref="B32:C32"/>
    <mergeCell ref="D32:E32"/>
    <mergeCell ref="B24:C24"/>
    <mergeCell ref="D24:E24"/>
    <mergeCell ref="G24:H24"/>
    <mergeCell ref="B25:C25"/>
    <mergeCell ref="D25:E25"/>
    <mergeCell ref="G25:H25"/>
    <mergeCell ref="B28:C28"/>
    <mergeCell ref="D28:E28"/>
    <mergeCell ref="G28:H28"/>
    <mergeCell ref="B26:C26"/>
    <mergeCell ref="D26:E26"/>
    <mergeCell ref="G26:H26"/>
    <mergeCell ref="B27:C27"/>
    <mergeCell ref="D27:E27"/>
    <mergeCell ref="G27:H27"/>
    <mergeCell ref="B72:C72"/>
    <mergeCell ref="E72:F72"/>
    <mergeCell ref="D20:E20"/>
    <mergeCell ref="G9:H9"/>
    <mergeCell ref="G14:H14"/>
    <mergeCell ref="B10:C10"/>
    <mergeCell ref="D13:E13"/>
    <mergeCell ref="G13:H13"/>
    <mergeCell ref="B14:C14"/>
    <mergeCell ref="D14:E14"/>
    <mergeCell ref="B15:C15"/>
    <mergeCell ref="D15:E15"/>
    <mergeCell ref="G15:H15"/>
    <mergeCell ref="B11:C11"/>
    <mergeCell ref="G17:H17"/>
    <mergeCell ref="B17:C17"/>
    <mergeCell ref="B19:C19"/>
    <mergeCell ref="D19:E19"/>
    <mergeCell ref="G19:H19"/>
    <mergeCell ref="D18:E18"/>
    <mergeCell ref="B16:C16"/>
    <mergeCell ref="D16:E16"/>
    <mergeCell ref="B6:C6"/>
    <mergeCell ref="D6:E6"/>
    <mergeCell ref="G6:H6"/>
    <mergeCell ref="G10:H10"/>
    <mergeCell ref="G12:H12"/>
    <mergeCell ref="B13:C13"/>
    <mergeCell ref="G11:H11"/>
    <mergeCell ref="B12:C12"/>
    <mergeCell ref="B9:C9"/>
    <mergeCell ref="D9:E9"/>
    <mergeCell ref="G8:H8"/>
    <mergeCell ref="B7:C7"/>
    <mergeCell ref="D7:E7"/>
    <mergeCell ref="G7:H7"/>
    <mergeCell ref="D8:E8"/>
    <mergeCell ref="B8:C8"/>
    <mergeCell ref="D11:E11"/>
    <mergeCell ref="A3:J3"/>
    <mergeCell ref="A4:A5"/>
    <mergeCell ref="B4:E4"/>
    <mergeCell ref="F4:F5"/>
    <mergeCell ref="G4:H5"/>
    <mergeCell ref="B5:C5"/>
    <mergeCell ref="I4:I5"/>
    <mergeCell ref="J4:J5"/>
    <mergeCell ref="D5:E5"/>
    <mergeCell ref="B29:C29"/>
    <mergeCell ref="G35:H35"/>
    <mergeCell ref="B36:C36"/>
    <mergeCell ref="B37:C37"/>
    <mergeCell ref="D37:E37"/>
    <mergeCell ref="D10:E10"/>
    <mergeCell ref="B21:C21"/>
    <mergeCell ref="D21:E21"/>
    <mergeCell ref="G21:H21"/>
    <mergeCell ref="B30:C30"/>
    <mergeCell ref="D30:E30"/>
    <mergeCell ref="G30:H30"/>
    <mergeCell ref="B22:C22"/>
    <mergeCell ref="D22:E22"/>
    <mergeCell ref="G22:H22"/>
    <mergeCell ref="B23:C23"/>
    <mergeCell ref="D23:E23"/>
    <mergeCell ref="G23:H23"/>
    <mergeCell ref="B18:C18"/>
    <mergeCell ref="B20:C20"/>
    <mergeCell ref="D17:E17"/>
    <mergeCell ref="G16:H16"/>
    <mergeCell ref="D12:E12"/>
    <mergeCell ref="B33:C33"/>
    <mergeCell ref="I58:J58"/>
    <mergeCell ref="I62:J62"/>
    <mergeCell ref="E61:F61"/>
    <mergeCell ref="G46:H46"/>
    <mergeCell ref="B60:C60"/>
    <mergeCell ref="A87:H87"/>
    <mergeCell ref="I87:J87"/>
    <mergeCell ref="G18:H18"/>
    <mergeCell ref="D56:D57"/>
    <mergeCell ref="G20:H20"/>
    <mergeCell ref="G39:H39"/>
    <mergeCell ref="G49:H49"/>
    <mergeCell ref="G37:H37"/>
    <mergeCell ref="B41:C41"/>
    <mergeCell ref="D41:E41"/>
    <mergeCell ref="G43:H43"/>
    <mergeCell ref="B40:C40"/>
    <mergeCell ref="D40:E40"/>
    <mergeCell ref="G40:H40"/>
    <mergeCell ref="B38:C38"/>
    <mergeCell ref="B42:C42"/>
    <mergeCell ref="D42:E42"/>
    <mergeCell ref="G42:H42"/>
    <mergeCell ref="G44:H44"/>
    <mergeCell ref="A89:H89"/>
    <mergeCell ref="I89:J89"/>
    <mergeCell ref="E62:F62"/>
    <mergeCell ref="G62:H62"/>
    <mergeCell ref="I61:J61"/>
    <mergeCell ref="A56:A57"/>
    <mergeCell ref="D38:E38"/>
    <mergeCell ref="G38:H38"/>
    <mergeCell ref="B39:C39"/>
    <mergeCell ref="D39:E39"/>
    <mergeCell ref="B61:C61"/>
    <mergeCell ref="G51:H51"/>
    <mergeCell ref="E60:F60"/>
    <mergeCell ref="D52:E52"/>
    <mergeCell ref="A55:J55"/>
    <mergeCell ref="G58:H58"/>
    <mergeCell ref="I59:J59"/>
    <mergeCell ref="I60:J60"/>
    <mergeCell ref="G60:H60"/>
    <mergeCell ref="B62:C62"/>
    <mergeCell ref="G47:H47"/>
    <mergeCell ref="G48:H48"/>
    <mergeCell ref="B49:C49"/>
    <mergeCell ref="D49:E49"/>
  </mergeCells>
  <phoneticPr fontId="6" type="noConversion"/>
  <pageMargins left="0.75" right="0.75" top="1" bottom="1" header="0.5" footer="0.5"/>
  <pageSetup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42"/>
  <sheetViews>
    <sheetView topLeftCell="A7" workbookViewId="0">
      <selection activeCell="I24" sqref="I24:J24"/>
    </sheetView>
  </sheetViews>
  <sheetFormatPr defaultRowHeight="12.75" x14ac:dyDescent="0.2"/>
  <cols>
    <col min="6" max="6" width="16.42578125" bestFit="1" customWidth="1"/>
    <col min="9" max="9" width="11.710937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99</v>
      </c>
      <c r="B2" s="6"/>
      <c r="C2" s="6"/>
      <c r="D2" s="6"/>
      <c r="E2" s="6"/>
      <c r="F2" s="6"/>
      <c r="G2" s="6"/>
      <c r="H2" s="6"/>
      <c r="I2" s="6"/>
      <c r="J2" s="7" t="s">
        <v>100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83" t="s">
        <v>101</v>
      </c>
      <c r="C6" s="128"/>
      <c r="D6" s="183" t="s">
        <v>102</v>
      </c>
      <c r="E6" s="128"/>
      <c r="F6" s="12">
        <v>33920</v>
      </c>
      <c r="G6" s="169" t="s">
        <v>103</v>
      </c>
      <c r="H6" s="169"/>
      <c r="I6" s="11">
        <v>82856.570000000007</v>
      </c>
      <c r="J6" s="11">
        <f>I6*0.8</f>
        <v>66285.256000000008</v>
      </c>
    </row>
    <row r="7" spans="1:10" x14ac:dyDescent="0.2">
      <c r="A7" s="9">
        <v>2</v>
      </c>
      <c r="B7" s="183" t="s">
        <v>104</v>
      </c>
      <c r="C7" s="128"/>
      <c r="D7" s="183" t="s">
        <v>105</v>
      </c>
      <c r="E7" s="128"/>
      <c r="F7" s="12">
        <v>35138</v>
      </c>
      <c r="G7" s="169" t="s">
        <v>106</v>
      </c>
      <c r="H7" s="169"/>
      <c r="I7" s="11">
        <v>111397.66</v>
      </c>
      <c r="J7" s="11">
        <f t="shared" ref="J7:J12" si="0">I7*0.8</f>
        <v>89118.128000000012</v>
      </c>
    </row>
    <row r="8" spans="1:10" x14ac:dyDescent="0.2">
      <c r="A8" s="9">
        <v>3</v>
      </c>
      <c r="B8" s="183" t="s">
        <v>107</v>
      </c>
      <c r="C8" s="128"/>
      <c r="D8" s="183" t="s">
        <v>108</v>
      </c>
      <c r="E8" s="128"/>
      <c r="F8" s="12">
        <v>35138</v>
      </c>
      <c r="G8" s="169" t="s">
        <v>109</v>
      </c>
      <c r="H8" s="169"/>
      <c r="I8" s="11">
        <v>146636.63</v>
      </c>
      <c r="J8" s="11">
        <f t="shared" si="0"/>
        <v>117309.304</v>
      </c>
    </row>
    <row r="9" spans="1:10" x14ac:dyDescent="0.2">
      <c r="A9" s="9">
        <v>4</v>
      </c>
      <c r="B9" s="183" t="s">
        <v>110</v>
      </c>
      <c r="C9" s="128"/>
      <c r="D9" s="183" t="s">
        <v>111</v>
      </c>
      <c r="E9" s="128"/>
      <c r="F9" s="12">
        <v>35138</v>
      </c>
      <c r="G9" s="169" t="s">
        <v>112</v>
      </c>
      <c r="H9" s="169"/>
      <c r="I9" s="11">
        <v>146636.63</v>
      </c>
      <c r="J9" s="11">
        <f t="shared" si="0"/>
        <v>117309.304</v>
      </c>
    </row>
    <row r="10" spans="1:10" x14ac:dyDescent="0.2">
      <c r="A10" s="9">
        <v>5</v>
      </c>
      <c r="B10" s="183" t="s">
        <v>113</v>
      </c>
      <c r="C10" s="128"/>
      <c r="D10" s="183" t="s">
        <v>114</v>
      </c>
      <c r="E10" s="128"/>
      <c r="F10" s="12">
        <v>35138</v>
      </c>
      <c r="G10" s="169" t="s">
        <v>115</v>
      </c>
      <c r="H10" s="169"/>
      <c r="I10" s="11">
        <v>146636.64000000001</v>
      </c>
      <c r="J10" s="11">
        <f t="shared" si="0"/>
        <v>117309.31200000002</v>
      </c>
    </row>
    <row r="11" spans="1:10" x14ac:dyDescent="0.2">
      <c r="A11" s="9">
        <v>6</v>
      </c>
      <c r="B11" s="183" t="s">
        <v>116</v>
      </c>
      <c r="C11" s="128"/>
      <c r="D11" s="128"/>
      <c r="E11" s="128"/>
      <c r="F11" s="12">
        <v>35811</v>
      </c>
      <c r="G11" s="169" t="s">
        <v>117</v>
      </c>
      <c r="H11" s="169"/>
      <c r="I11" s="11">
        <v>143692.39000000001</v>
      </c>
      <c r="J11" s="11">
        <f t="shared" si="0"/>
        <v>114953.91200000001</v>
      </c>
    </row>
    <row r="12" spans="1:10" x14ac:dyDescent="0.2">
      <c r="A12" s="9">
        <v>7</v>
      </c>
      <c r="B12" s="183" t="s">
        <v>118</v>
      </c>
      <c r="C12" s="128"/>
      <c r="D12" s="183" t="s">
        <v>119</v>
      </c>
      <c r="E12" s="128"/>
      <c r="F12" s="12">
        <v>35818</v>
      </c>
      <c r="G12" s="169" t="s">
        <v>120</v>
      </c>
      <c r="H12" s="169"/>
      <c r="I12" s="11">
        <v>125888.99</v>
      </c>
      <c r="J12" s="11">
        <f t="shared" si="0"/>
        <v>100711.19200000001</v>
      </c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11"/>
      <c r="J13" s="11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14">
        <f>SUM(I6:I13)</f>
        <v>903745.51</v>
      </c>
      <c r="J14" s="14">
        <f>SUM(J6:K13)</f>
        <v>722996.40800000005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 t="s">
        <v>121</v>
      </c>
      <c r="C19" s="128"/>
      <c r="D19" s="9">
        <v>12404</v>
      </c>
      <c r="E19" s="182">
        <v>36342</v>
      </c>
      <c r="F19" s="128"/>
      <c r="G19" s="183" t="s">
        <v>122</v>
      </c>
      <c r="H19" s="128"/>
      <c r="I19" s="136">
        <v>195318</v>
      </c>
      <c r="J19" s="136"/>
    </row>
    <row r="20" spans="1:10" x14ac:dyDescent="0.2">
      <c r="A20" s="9">
        <v>2</v>
      </c>
      <c r="B20" s="183" t="s">
        <v>123</v>
      </c>
      <c r="C20" s="128"/>
      <c r="D20" s="9">
        <v>13280</v>
      </c>
      <c r="E20" s="182">
        <v>36678</v>
      </c>
      <c r="F20" s="128"/>
      <c r="G20" s="183" t="s">
        <v>124</v>
      </c>
      <c r="H20" s="128"/>
      <c r="I20" s="136">
        <v>32473</v>
      </c>
      <c r="J20" s="136"/>
    </row>
    <row r="21" spans="1:10" x14ac:dyDescent="0.2">
      <c r="A21" s="9">
        <v>3</v>
      </c>
      <c r="B21" s="183" t="s">
        <v>125</v>
      </c>
      <c r="C21" s="128"/>
      <c r="D21" s="9">
        <v>16327</v>
      </c>
      <c r="E21" s="182">
        <v>36617</v>
      </c>
      <c r="F21" s="128"/>
      <c r="G21" s="128" t="s">
        <v>126</v>
      </c>
      <c r="H21" s="128"/>
      <c r="I21" s="136">
        <v>107054</v>
      </c>
      <c r="J21" s="136"/>
    </row>
    <row r="22" spans="1:10" x14ac:dyDescent="0.2">
      <c r="A22" s="9">
        <v>4</v>
      </c>
      <c r="B22" s="128">
        <v>449689</v>
      </c>
      <c r="C22" s="128"/>
      <c r="D22" s="9">
        <v>79518</v>
      </c>
      <c r="E22" s="182">
        <v>41836</v>
      </c>
      <c r="F22" s="128"/>
      <c r="G22" s="128" t="s">
        <v>884</v>
      </c>
      <c r="H22" s="128"/>
      <c r="I22" s="136">
        <v>165131.82</v>
      </c>
      <c r="J22" s="136"/>
    </row>
    <row r="23" spans="1:10" x14ac:dyDescent="0.2">
      <c r="A23" s="19">
        <v>5</v>
      </c>
      <c r="B23" s="137"/>
      <c r="C23" s="137"/>
      <c r="D23" s="19">
        <v>79516</v>
      </c>
      <c r="E23" s="196">
        <v>42213</v>
      </c>
      <c r="F23" s="137"/>
      <c r="G23" s="137" t="s">
        <v>128</v>
      </c>
      <c r="H23" s="137"/>
      <c r="I23" s="138">
        <v>149015.59</v>
      </c>
      <c r="J23" s="138"/>
    </row>
    <row r="24" spans="1:10" x14ac:dyDescent="0.2">
      <c r="A24" s="19">
        <v>6</v>
      </c>
      <c r="B24" s="137"/>
      <c r="C24" s="137"/>
      <c r="D24" s="19">
        <v>101733</v>
      </c>
      <c r="E24" s="196">
        <v>43748</v>
      </c>
      <c r="F24" s="137"/>
      <c r="G24" s="137" t="s">
        <v>1205</v>
      </c>
      <c r="H24" s="137"/>
      <c r="I24" s="138">
        <v>11329.39</v>
      </c>
      <c r="J24" s="138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660321.80000000005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722996.40800000005</v>
      </c>
      <c r="J31" s="148"/>
    </row>
    <row r="32" spans="1:10" x14ac:dyDescent="0.2">
      <c r="A32" s="144" t="s">
        <v>49</v>
      </c>
      <c r="B32" s="144"/>
      <c r="C32" s="144"/>
      <c r="D32" s="144"/>
      <c r="E32" s="144"/>
      <c r="F32" s="144"/>
      <c r="G32" s="144"/>
      <c r="H32" s="144"/>
      <c r="I32" s="184">
        <v>-62301</v>
      </c>
      <c r="J32" s="184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145">
        <f>I28</f>
        <v>660321.80000000005</v>
      </c>
      <c r="J33" s="145"/>
    </row>
    <row r="34" spans="1:10" ht="13.5" thickTop="1" x14ac:dyDescent="0.2">
      <c r="H34" s="18" t="s">
        <v>33</v>
      </c>
      <c r="I34" s="129">
        <f>I31+I32-I33</f>
        <v>373.60800000000745</v>
      </c>
      <c r="J34" s="130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139" t="s">
        <v>127</v>
      </c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87">
    <mergeCell ref="I34:J34"/>
    <mergeCell ref="A36:J36"/>
    <mergeCell ref="I31:J31"/>
    <mergeCell ref="B27:C27"/>
    <mergeCell ref="E27:F27"/>
    <mergeCell ref="G27:H27"/>
    <mergeCell ref="I27:J27"/>
    <mergeCell ref="A37:J42"/>
    <mergeCell ref="I4:I5"/>
    <mergeCell ref="J4:J5"/>
    <mergeCell ref="A32:H32"/>
    <mergeCell ref="I32:J32"/>
    <mergeCell ref="A33:H33"/>
    <mergeCell ref="I33:J33"/>
    <mergeCell ref="I28:J28"/>
    <mergeCell ref="I30:J30"/>
    <mergeCell ref="A31:H31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41"/>
  <sheetViews>
    <sheetView workbookViewId="0">
      <selection activeCell="E17" sqref="E17:F17"/>
    </sheetView>
  </sheetViews>
  <sheetFormatPr defaultRowHeight="12.75" x14ac:dyDescent="0.2"/>
  <cols>
    <col min="9" max="9" width="11.710937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1043</v>
      </c>
      <c r="B2" s="6"/>
      <c r="C2" s="6"/>
      <c r="D2" s="6"/>
      <c r="E2" s="6"/>
      <c r="F2" s="6"/>
      <c r="G2" s="6"/>
      <c r="H2" s="6"/>
      <c r="I2" s="6"/>
      <c r="J2" s="59" t="s">
        <v>148</v>
      </c>
    </row>
    <row r="3" spans="1:10" ht="15" x14ac:dyDescent="0.25">
      <c r="A3" s="131"/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69" t="s">
        <v>834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/>
      <c r="B6" s="128"/>
      <c r="C6" s="128"/>
      <c r="D6" s="128"/>
      <c r="E6" s="128"/>
      <c r="F6" s="12"/>
      <c r="G6" s="169"/>
      <c r="H6" s="169"/>
      <c r="I6" s="32"/>
      <c r="J6" s="32"/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32"/>
      <c r="J7" s="32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2"/>
      <c r="J8" s="32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13"/>
      <c r="B11" s="13"/>
      <c r="C11" s="13"/>
      <c r="D11" s="13"/>
      <c r="E11" s="13"/>
      <c r="F11" s="13"/>
      <c r="G11" s="13"/>
      <c r="H11" s="13" t="s">
        <v>33</v>
      </c>
      <c r="I11" s="33">
        <f>SUM(I6:I10)</f>
        <v>0</v>
      </c>
      <c r="J11" s="33">
        <f>SUM(J6:J10)</f>
        <v>0</v>
      </c>
    </row>
    <row r="12" spans="1:10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 x14ac:dyDescent="0.25">
      <c r="A13" s="131" t="s">
        <v>34</v>
      </c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0" x14ac:dyDescent="0.2">
      <c r="A14" s="169" t="s">
        <v>23</v>
      </c>
      <c r="B14" s="169" t="s">
        <v>35</v>
      </c>
      <c r="C14" s="169"/>
      <c r="D14" s="169" t="s">
        <v>36</v>
      </c>
      <c r="E14" s="169" t="s">
        <v>37</v>
      </c>
      <c r="F14" s="169"/>
      <c r="G14" s="169" t="s">
        <v>38</v>
      </c>
      <c r="H14" s="169"/>
      <c r="I14" s="169" t="s">
        <v>39</v>
      </c>
      <c r="J14" s="169"/>
    </row>
    <row r="15" spans="1:10" x14ac:dyDescent="0.2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x14ac:dyDescent="0.2">
      <c r="A16" s="19">
        <v>1</v>
      </c>
      <c r="B16" s="137"/>
      <c r="C16" s="137"/>
      <c r="D16" s="19">
        <v>79659</v>
      </c>
      <c r="E16" s="196">
        <v>41436</v>
      </c>
      <c r="F16" s="137"/>
      <c r="G16" s="137"/>
      <c r="H16" s="137"/>
      <c r="I16" s="138">
        <v>23492.01</v>
      </c>
      <c r="J16" s="138"/>
    </row>
    <row r="17" spans="1:10" x14ac:dyDescent="0.2">
      <c r="A17" s="26"/>
      <c r="B17" s="236"/>
      <c r="C17" s="236"/>
      <c r="D17" s="26"/>
      <c r="E17" s="236"/>
      <c r="F17" s="236"/>
      <c r="G17" s="236"/>
      <c r="H17" s="236"/>
      <c r="I17" s="247"/>
      <c r="J17" s="247"/>
    </row>
    <row r="18" spans="1:10" x14ac:dyDescent="0.2">
      <c r="A18" s="26"/>
      <c r="B18" s="236"/>
      <c r="C18" s="236"/>
      <c r="D18" s="26"/>
      <c r="E18" s="236"/>
      <c r="F18" s="236"/>
      <c r="G18" s="236"/>
      <c r="H18" s="236"/>
      <c r="I18" s="247"/>
      <c r="J18" s="247"/>
    </row>
    <row r="19" spans="1:10" x14ac:dyDescent="0.2">
      <c r="A19" s="26"/>
      <c r="B19" s="236"/>
      <c r="C19" s="236"/>
      <c r="D19" s="26"/>
      <c r="E19" s="236"/>
      <c r="F19" s="236"/>
      <c r="G19" s="220"/>
      <c r="H19" s="236"/>
      <c r="I19" s="247"/>
      <c r="J19" s="247"/>
    </row>
    <row r="20" spans="1:10" x14ac:dyDescent="0.2">
      <c r="A20" s="26"/>
      <c r="B20" s="236"/>
      <c r="C20" s="236"/>
      <c r="D20" s="26"/>
      <c r="E20" s="236"/>
      <c r="F20" s="236"/>
      <c r="G20" s="236"/>
      <c r="H20" s="236"/>
      <c r="I20" s="247"/>
      <c r="J20" s="247"/>
    </row>
    <row r="21" spans="1:10" x14ac:dyDescent="0.2">
      <c r="A21" s="58"/>
      <c r="B21" s="151"/>
      <c r="C21" s="151"/>
      <c r="D21" s="58"/>
      <c r="E21" s="151"/>
      <c r="F21" s="151"/>
      <c r="G21" s="151"/>
      <c r="H21" s="151"/>
      <c r="I21" s="152"/>
      <c r="J21" s="152"/>
    </row>
    <row r="22" spans="1:10" x14ac:dyDescent="0.2">
      <c r="A22" s="58"/>
      <c r="B22" s="151"/>
      <c r="C22" s="151"/>
      <c r="D22" s="58"/>
      <c r="E22" s="151"/>
      <c r="F22" s="151"/>
      <c r="G22" s="151"/>
      <c r="H22" s="151"/>
      <c r="I22" s="152"/>
      <c r="J22" s="152"/>
    </row>
    <row r="23" spans="1:10" x14ac:dyDescent="0.2">
      <c r="A23" s="58"/>
      <c r="B23" s="151"/>
      <c r="C23" s="151"/>
      <c r="D23" s="58"/>
      <c r="E23" s="151"/>
      <c r="F23" s="151"/>
      <c r="G23" s="151"/>
      <c r="H23" s="151"/>
      <c r="I23" s="152"/>
      <c r="J23" s="152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136"/>
      <c r="J24" s="136"/>
    </row>
    <row r="25" spans="1:10" ht="13.5" thickBot="1" x14ac:dyDescent="0.25">
      <c r="A25" s="9"/>
      <c r="B25" s="128"/>
      <c r="C25" s="128"/>
      <c r="D25" s="9"/>
      <c r="E25" s="128"/>
      <c r="F25" s="128"/>
      <c r="G25" s="128"/>
      <c r="H25" s="128"/>
      <c r="I25" s="226"/>
      <c r="J25" s="226"/>
    </row>
    <row r="26" spans="1:10" ht="13.5" thickTop="1" x14ac:dyDescent="0.2">
      <c r="A26" s="13"/>
      <c r="B26" s="13"/>
      <c r="C26" s="13"/>
      <c r="D26" s="13"/>
      <c r="E26" s="13"/>
      <c r="F26" s="13"/>
      <c r="G26" s="13"/>
      <c r="H26" s="13" t="s">
        <v>33</v>
      </c>
      <c r="I26" s="140">
        <f>SUM(I16:J25)</f>
        <v>23492.01</v>
      </c>
      <c r="J26" s="140"/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5" t="s">
        <v>46</v>
      </c>
      <c r="B28" s="16"/>
      <c r="C28" s="16"/>
      <c r="D28" s="16"/>
      <c r="E28" s="16"/>
      <c r="F28" s="16"/>
      <c r="G28" s="16"/>
      <c r="H28" s="16"/>
      <c r="I28" s="149" t="s">
        <v>47</v>
      </c>
      <c r="J28" s="150"/>
    </row>
    <row r="29" spans="1:10" x14ac:dyDescent="0.2">
      <c r="A29" s="144" t="s">
        <v>48</v>
      </c>
      <c r="B29" s="144"/>
      <c r="C29" s="144"/>
      <c r="D29" s="144"/>
      <c r="E29" s="144"/>
      <c r="F29" s="144"/>
      <c r="G29" s="144"/>
      <c r="H29" s="144"/>
      <c r="I29" s="148">
        <f>I11*80%</f>
        <v>0</v>
      </c>
      <c r="J29" s="148"/>
    </row>
    <row r="30" spans="1:10" x14ac:dyDescent="0.2">
      <c r="A30" s="144" t="s">
        <v>49</v>
      </c>
      <c r="B30" s="144"/>
      <c r="C30" s="144"/>
      <c r="D30" s="144"/>
      <c r="E30" s="144"/>
      <c r="F30" s="144"/>
      <c r="G30" s="144"/>
      <c r="H30" s="144"/>
      <c r="I30" s="184"/>
      <c r="J30" s="184"/>
    </row>
    <row r="31" spans="1:10" x14ac:dyDescent="0.2">
      <c r="A31" s="258" t="s">
        <v>1044</v>
      </c>
      <c r="B31" s="144"/>
      <c r="C31" s="144"/>
      <c r="D31" s="144"/>
      <c r="E31" s="144"/>
      <c r="F31" s="144"/>
      <c r="G31" s="144"/>
      <c r="H31" s="144"/>
      <c r="I31" s="184">
        <v>23492.01</v>
      </c>
      <c r="J31" s="184"/>
    </row>
    <row r="32" spans="1:10" ht="13.5" thickBot="1" x14ac:dyDescent="0.25">
      <c r="A32" s="144" t="s">
        <v>50</v>
      </c>
      <c r="B32" s="144"/>
      <c r="C32" s="144"/>
      <c r="D32" s="144"/>
      <c r="E32" s="144"/>
      <c r="F32" s="144"/>
      <c r="G32" s="144"/>
      <c r="H32" s="144"/>
      <c r="I32" s="145">
        <f>I26</f>
        <v>23492.01</v>
      </c>
      <c r="J32" s="145"/>
    </row>
    <row r="33" spans="1:10" ht="13.5" thickTop="1" x14ac:dyDescent="0.2">
      <c r="H33" s="18" t="s">
        <v>33</v>
      </c>
      <c r="I33" s="129">
        <f>I29+I30+I31-I32</f>
        <v>0</v>
      </c>
      <c r="J33" s="130"/>
    </row>
    <row r="35" spans="1:10" ht="15" x14ac:dyDescent="0.25">
      <c r="A35" s="131" t="s">
        <v>51</v>
      </c>
      <c r="B35" s="132"/>
      <c r="C35" s="132"/>
      <c r="D35" s="132"/>
      <c r="E35" s="132"/>
      <c r="F35" s="132"/>
      <c r="G35" s="132"/>
      <c r="H35" s="132"/>
      <c r="I35" s="132"/>
      <c r="J35" s="133"/>
    </row>
    <row r="36" spans="1:10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0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</sheetData>
  <mergeCells count="84">
    <mergeCell ref="A32:H32"/>
    <mergeCell ref="I32:J32"/>
    <mergeCell ref="I33:J33"/>
    <mergeCell ref="A35:J35"/>
    <mergeCell ref="A36:J41"/>
    <mergeCell ref="A31:H31"/>
    <mergeCell ref="I31:J31"/>
    <mergeCell ref="I26:J26"/>
    <mergeCell ref="I28:J28"/>
    <mergeCell ref="A29:H29"/>
    <mergeCell ref="I29:J29"/>
    <mergeCell ref="A30:H30"/>
    <mergeCell ref="I30:J30"/>
    <mergeCell ref="B24:C24"/>
    <mergeCell ref="E24:F24"/>
    <mergeCell ref="G24:H24"/>
    <mergeCell ref="I24:J24"/>
    <mergeCell ref="B25:C25"/>
    <mergeCell ref="E25:F25"/>
    <mergeCell ref="G25:H25"/>
    <mergeCell ref="I25:J25"/>
    <mergeCell ref="B22:C22"/>
    <mergeCell ref="E22:F22"/>
    <mergeCell ref="G22:H22"/>
    <mergeCell ref="I22:J22"/>
    <mergeCell ref="B23:C23"/>
    <mergeCell ref="E23:F23"/>
    <mergeCell ref="G23:H23"/>
    <mergeCell ref="I23:J23"/>
    <mergeCell ref="B20:C20"/>
    <mergeCell ref="E20:F20"/>
    <mergeCell ref="G20:H20"/>
    <mergeCell ref="I20:J20"/>
    <mergeCell ref="B21:C21"/>
    <mergeCell ref="E21:F21"/>
    <mergeCell ref="G21:H21"/>
    <mergeCell ref="I21:J21"/>
    <mergeCell ref="B18:C18"/>
    <mergeCell ref="E18:F18"/>
    <mergeCell ref="G18:H18"/>
    <mergeCell ref="I18:J18"/>
    <mergeCell ref="B19:C19"/>
    <mergeCell ref="E19:F19"/>
    <mergeCell ref="G19:H19"/>
    <mergeCell ref="I19:J19"/>
    <mergeCell ref="B16:C16"/>
    <mergeCell ref="E16:F16"/>
    <mergeCell ref="G16:H16"/>
    <mergeCell ref="I16:J16"/>
    <mergeCell ref="B17:C17"/>
    <mergeCell ref="E17:F17"/>
    <mergeCell ref="G17:H17"/>
    <mergeCell ref="I17:J17"/>
    <mergeCell ref="B10:C10"/>
    <mergeCell ref="D10:E10"/>
    <mergeCell ref="G10:H10"/>
    <mergeCell ref="A13:J13"/>
    <mergeCell ref="A14:A15"/>
    <mergeCell ref="B14:C15"/>
    <mergeCell ref="D14:D15"/>
    <mergeCell ref="E14:F15"/>
    <mergeCell ref="G14:H15"/>
    <mergeCell ref="I14:J15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J55"/>
  <sheetViews>
    <sheetView workbookViewId="0">
      <selection activeCell="I28" sqref="I28:J28"/>
    </sheetView>
  </sheetViews>
  <sheetFormatPr defaultRowHeight="12.75" x14ac:dyDescent="0.2"/>
  <cols>
    <col min="6" max="6" width="14.140625" customWidth="1"/>
    <col min="8" max="8" width="12.7109375" customWidth="1"/>
    <col min="9" max="9" width="12.71093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932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69" t="s">
        <v>834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4739264</v>
      </c>
      <c r="C6" s="128"/>
      <c r="D6" s="128">
        <v>4739183</v>
      </c>
      <c r="E6" s="128"/>
      <c r="F6" s="12">
        <v>40599</v>
      </c>
      <c r="G6" s="169" t="s">
        <v>933</v>
      </c>
      <c r="H6" s="169"/>
      <c r="I6" s="32">
        <v>387110.08</v>
      </c>
      <c r="J6" s="32">
        <f t="shared" ref="J6:J15" si="0">I6*0.8</f>
        <v>309688.06400000001</v>
      </c>
    </row>
    <row r="7" spans="1:10" x14ac:dyDescent="0.2">
      <c r="A7" s="9">
        <v>2</v>
      </c>
      <c r="B7" s="128">
        <v>4738489</v>
      </c>
      <c r="C7" s="128"/>
      <c r="D7" s="128">
        <v>4738438</v>
      </c>
      <c r="E7" s="128"/>
      <c r="F7" s="12">
        <v>40994</v>
      </c>
      <c r="G7" s="169"/>
      <c r="H7" s="169"/>
      <c r="I7" s="32">
        <v>198860.03</v>
      </c>
      <c r="J7" s="32">
        <f t="shared" si="0"/>
        <v>159088.024</v>
      </c>
    </row>
    <row r="8" spans="1:10" x14ac:dyDescent="0.2">
      <c r="A8" s="9">
        <v>3</v>
      </c>
      <c r="B8" s="128">
        <v>4738179</v>
      </c>
      <c r="C8" s="128"/>
      <c r="D8" s="128">
        <v>4738128</v>
      </c>
      <c r="E8" s="128"/>
      <c r="F8" s="12">
        <v>41359</v>
      </c>
      <c r="G8" s="169"/>
      <c r="H8" s="169"/>
      <c r="I8" s="32">
        <v>363090.94</v>
      </c>
      <c r="J8" s="32">
        <f t="shared" si="0"/>
        <v>290472.75200000004</v>
      </c>
    </row>
    <row r="9" spans="1:10" x14ac:dyDescent="0.2">
      <c r="A9" s="9">
        <v>4</v>
      </c>
      <c r="B9" s="128">
        <v>4738969</v>
      </c>
      <c r="C9" s="128"/>
      <c r="D9" s="128">
        <v>4730005</v>
      </c>
      <c r="E9" s="128"/>
      <c r="F9" s="12">
        <v>42317</v>
      </c>
      <c r="G9" s="169"/>
      <c r="H9" s="169"/>
      <c r="I9" s="32">
        <v>295872.48</v>
      </c>
      <c r="J9" s="32">
        <f t="shared" si="0"/>
        <v>236697.984</v>
      </c>
    </row>
    <row r="10" spans="1:10" x14ac:dyDescent="0.2">
      <c r="A10" s="9">
        <v>5</v>
      </c>
      <c r="B10" s="128">
        <v>4736192</v>
      </c>
      <c r="C10" s="128"/>
      <c r="D10" s="128">
        <v>4736193</v>
      </c>
      <c r="E10" s="128"/>
      <c r="F10" s="12">
        <v>42912</v>
      </c>
      <c r="G10" s="169"/>
      <c r="H10" s="169"/>
      <c r="I10" s="32">
        <v>302159.48</v>
      </c>
      <c r="J10" s="32">
        <f t="shared" si="0"/>
        <v>241727.584</v>
      </c>
    </row>
    <row r="11" spans="1:10" x14ac:dyDescent="0.2">
      <c r="A11" s="9">
        <v>6</v>
      </c>
      <c r="B11" s="128">
        <v>4739485</v>
      </c>
      <c r="C11" s="128"/>
      <c r="D11" s="137" t="s">
        <v>1151</v>
      </c>
      <c r="E11" s="128"/>
      <c r="F11" s="12">
        <v>43026</v>
      </c>
      <c r="G11" s="169"/>
      <c r="H11" s="169"/>
      <c r="I11" s="32">
        <v>159826</v>
      </c>
      <c r="J11" s="32">
        <f t="shared" si="0"/>
        <v>127860.8</v>
      </c>
    </row>
    <row r="12" spans="1:10" x14ac:dyDescent="0.2">
      <c r="A12" s="9">
        <v>7</v>
      </c>
      <c r="B12" s="128">
        <v>4737954</v>
      </c>
      <c r="C12" s="128"/>
      <c r="D12" s="128">
        <v>4737955</v>
      </c>
      <c r="E12" s="128"/>
      <c r="F12" s="12">
        <v>43525</v>
      </c>
      <c r="G12" s="169"/>
      <c r="H12" s="169"/>
      <c r="I12" s="32">
        <v>337305.63</v>
      </c>
      <c r="J12" s="32">
        <f t="shared" si="0"/>
        <v>269844.50400000002</v>
      </c>
    </row>
    <row r="13" spans="1:10" x14ac:dyDescent="0.2">
      <c r="A13" s="9">
        <v>8</v>
      </c>
      <c r="B13" s="128">
        <v>4733118</v>
      </c>
      <c r="C13" s="128"/>
      <c r="D13" s="128">
        <v>4733119</v>
      </c>
      <c r="E13" s="128"/>
      <c r="F13" s="12">
        <v>43836</v>
      </c>
      <c r="G13" s="169"/>
      <c r="H13" s="169"/>
      <c r="I13" s="32">
        <v>365637.35</v>
      </c>
      <c r="J13" s="32">
        <f t="shared" si="0"/>
        <v>292509.88</v>
      </c>
    </row>
    <row r="14" spans="1:10" x14ac:dyDescent="0.2">
      <c r="A14" s="9">
        <v>9</v>
      </c>
      <c r="B14" s="128">
        <v>4741005</v>
      </c>
      <c r="C14" s="128"/>
      <c r="D14" s="128">
        <v>4741006</v>
      </c>
      <c r="E14" s="128"/>
      <c r="F14" s="12">
        <v>44336</v>
      </c>
      <c r="G14" s="169"/>
      <c r="H14" s="169"/>
      <c r="I14" s="32">
        <v>331769.3</v>
      </c>
      <c r="J14" s="32">
        <f t="shared" si="0"/>
        <v>265415.44</v>
      </c>
    </row>
    <row r="15" spans="1:10" x14ac:dyDescent="0.2">
      <c r="A15" s="9">
        <v>10</v>
      </c>
      <c r="B15" s="128">
        <v>4738748</v>
      </c>
      <c r="C15" s="128"/>
      <c r="D15" s="128">
        <v>4738749</v>
      </c>
      <c r="E15" s="128"/>
      <c r="F15" s="12">
        <v>44936</v>
      </c>
      <c r="G15" s="169" t="s">
        <v>1606</v>
      </c>
      <c r="H15" s="169"/>
      <c r="I15" s="32">
        <v>306053.48</v>
      </c>
      <c r="J15" s="32">
        <f t="shared" si="0"/>
        <v>244842.78399999999</v>
      </c>
    </row>
    <row r="16" spans="1:10" x14ac:dyDescent="0.2">
      <c r="A16" s="9"/>
      <c r="B16" s="128"/>
      <c r="C16" s="128"/>
      <c r="D16" s="128"/>
      <c r="E16" s="128"/>
      <c r="F16" s="12"/>
      <c r="G16" s="169"/>
      <c r="H16" s="169"/>
      <c r="I16" s="32"/>
      <c r="J16" s="32"/>
    </row>
    <row r="17" spans="1:10" x14ac:dyDescent="0.2">
      <c r="A17" s="9"/>
      <c r="B17" s="128"/>
      <c r="C17" s="128"/>
      <c r="D17" s="128"/>
      <c r="E17" s="128"/>
      <c r="F17" s="12"/>
      <c r="G17" s="169"/>
      <c r="H17" s="169"/>
      <c r="I17" s="32"/>
      <c r="J17" s="32"/>
    </row>
    <row r="18" spans="1:10" x14ac:dyDescent="0.2">
      <c r="A18" s="13"/>
      <c r="B18" s="13"/>
      <c r="C18" s="13"/>
      <c r="D18" s="13"/>
      <c r="E18" s="13"/>
      <c r="F18" s="13"/>
      <c r="G18" s="13"/>
      <c r="H18" s="13" t="s">
        <v>33</v>
      </c>
      <c r="I18" s="33">
        <f>SUM(I6:I17)</f>
        <v>3047684.77</v>
      </c>
      <c r="J18" s="33">
        <f>SUM(J6:J17)</f>
        <v>2438147.8160000001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31" t="s">
        <v>34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x14ac:dyDescent="0.2">
      <c r="A21" s="169" t="s">
        <v>23</v>
      </c>
      <c r="B21" s="169" t="s">
        <v>35</v>
      </c>
      <c r="C21" s="169"/>
      <c r="D21" s="169" t="s">
        <v>36</v>
      </c>
      <c r="E21" s="169" t="s">
        <v>37</v>
      </c>
      <c r="F21" s="169"/>
      <c r="G21" s="169" t="s">
        <v>38</v>
      </c>
      <c r="H21" s="169"/>
      <c r="I21" s="169" t="s">
        <v>39</v>
      </c>
      <c r="J21" s="169"/>
    </row>
    <row r="22" spans="1:10" x14ac:dyDescent="0.2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x14ac:dyDescent="0.2">
      <c r="A23" s="19">
        <v>1</v>
      </c>
      <c r="B23" s="137"/>
      <c r="C23" s="137"/>
      <c r="D23" s="19">
        <v>81814</v>
      </c>
      <c r="E23" s="196">
        <v>42660</v>
      </c>
      <c r="F23" s="137"/>
      <c r="G23" s="137" t="s">
        <v>934</v>
      </c>
      <c r="H23" s="137"/>
      <c r="I23" s="138">
        <v>249632.64000000001</v>
      </c>
      <c r="J23" s="138"/>
    </row>
    <row r="24" spans="1:10" x14ac:dyDescent="0.2">
      <c r="A24" s="19">
        <v>2</v>
      </c>
      <c r="B24" s="137"/>
      <c r="C24" s="137"/>
      <c r="D24" s="19">
        <v>84990</v>
      </c>
      <c r="E24" s="196">
        <v>43066</v>
      </c>
      <c r="F24" s="137"/>
      <c r="G24" s="137" t="s">
        <v>935</v>
      </c>
      <c r="H24" s="137"/>
      <c r="I24" s="138">
        <v>55013.79</v>
      </c>
      <c r="J24" s="138"/>
    </row>
    <row r="25" spans="1:10" x14ac:dyDescent="0.2">
      <c r="A25" s="19"/>
      <c r="B25" s="137"/>
      <c r="C25" s="137"/>
      <c r="D25" s="19">
        <v>90189</v>
      </c>
      <c r="E25" s="137"/>
      <c r="F25" s="137"/>
      <c r="G25" s="137" t="s">
        <v>936</v>
      </c>
      <c r="H25" s="137"/>
      <c r="I25" s="138">
        <v>2863.6</v>
      </c>
      <c r="J25" s="138"/>
    </row>
    <row r="26" spans="1:10" x14ac:dyDescent="0.2">
      <c r="A26" s="19"/>
      <c r="B26" s="137"/>
      <c r="C26" s="137"/>
      <c r="D26" s="19">
        <v>92512</v>
      </c>
      <c r="E26" s="196">
        <v>42216</v>
      </c>
      <c r="F26" s="137"/>
      <c r="G26" s="137" t="s">
        <v>1035</v>
      </c>
      <c r="H26" s="137"/>
      <c r="I26" s="138">
        <v>59183.7</v>
      </c>
      <c r="J26" s="138"/>
    </row>
    <row r="27" spans="1:10" x14ac:dyDescent="0.2">
      <c r="A27" s="26"/>
      <c r="B27" s="236"/>
      <c r="C27" s="236"/>
      <c r="D27" s="19">
        <v>92506</v>
      </c>
      <c r="E27" s="137"/>
      <c r="F27" s="137"/>
      <c r="G27" s="137" t="s">
        <v>937</v>
      </c>
      <c r="H27" s="137"/>
      <c r="I27" s="138">
        <v>253251.23</v>
      </c>
      <c r="J27" s="138"/>
    </row>
    <row r="28" spans="1:10" x14ac:dyDescent="0.2">
      <c r="A28" s="19"/>
      <c r="B28" s="137"/>
      <c r="C28" s="137"/>
      <c r="D28" s="19">
        <v>92742</v>
      </c>
      <c r="E28" s="137" t="s">
        <v>1009</v>
      </c>
      <c r="F28" s="137"/>
      <c r="G28" s="137"/>
      <c r="H28" s="137"/>
      <c r="I28" s="138">
        <v>10834.4</v>
      </c>
      <c r="J28" s="138"/>
    </row>
    <row r="29" spans="1:10" x14ac:dyDescent="0.2">
      <c r="A29" s="19"/>
      <c r="B29" s="137"/>
      <c r="C29" s="137"/>
      <c r="D29" s="19">
        <v>93896</v>
      </c>
      <c r="E29" s="137" t="s">
        <v>1027</v>
      </c>
      <c r="F29" s="137"/>
      <c r="G29" s="137"/>
      <c r="H29" s="137"/>
      <c r="I29" s="138">
        <v>2021.6</v>
      </c>
      <c r="J29" s="138"/>
    </row>
    <row r="30" spans="1:10" x14ac:dyDescent="0.2">
      <c r="A30" s="19"/>
      <c r="B30" s="137"/>
      <c r="C30" s="137"/>
      <c r="D30" s="19">
        <v>92515</v>
      </c>
      <c r="E30" s="196">
        <v>43556</v>
      </c>
      <c r="F30" s="137"/>
      <c r="G30" s="137" t="s">
        <v>1012</v>
      </c>
      <c r="H30" s="137"/>
      <c r="I30" s="138">
        <v>153582.32999999999</v>
      </c>
      <c r="J30" s="138"/>
    </row>
    <row r="31" spans="1:10" x14ac:dyDescent="0.2">
      <c r="A31" s="19"/>
      <c r="B31" s="137"/>
      <c r="C31" s="137"/>
      <c r="D31" s="19">
        <v>93992</v>
      </c>
      <c r="E31" s="196">
        <v>43453</v>
      </c>
      <c r="F31" s="137"/>
      <c r="G31" s="137" t="s">
        <v>1061</v>
      </c>
      <c r="H31" s="137"/>
      <c r="I31" s="138">
        <v>147167.45000000001</v>
      </c>
      <c r="J31" s="138"/>
    </row>
    <row r="32" spans="1:10" x14ac:dyDescent="0.2">
      <c r="A32" s="19"/>
      <c r="B32" s="137"/>
      <c r="C32" s="137"/>
      <c r="D32" s="19">
        <v>98720</v>
      </c>
      <c r="E32" s="196">
        <v>44449</v>
      </c>
      <c r="F32" s="137"/>
      <c r="G32" s="137" t="s">
        <v>1208</v>
      </c>
      <c r="H32" s="137"/>
      <c r="I32" s="138">
        <v>207427.58</v>
      </c>
      <c r="J32" s="138"/>
    </row>
    <row r="33" spans="1:10" x14ac:dyDescent="0.2">
      <c r="A33" s="19"/>
      <c r="B33" s="137"/>
      <c r="C33" s="137"/>
      <c r="D33" s="19">
        <v>101894</v>
      </c>
      <c r="E33" s="137"/>
      <c r="F33" s="137"/>
      <c r="G33" s="137" t="s">
        <v>1261</v>
      </c>
      <c r="H33" s="137"/>
      <c r="I33" s="138">
        <v>56686.06</v>
      </c>
      <c r="J33" s="138"/>
    </row>
    <row r="34" spans="1:10" x14ac:dyDescent="0.2">
      <c r="A34" s="58"/>
      <c r="B34" s="151"/>
      <c r="C34" s="151"/>
      <c r="D34" s="58">
        <v>104070</v>
      </c>
      <c r="E34" s="151"/>
      <c r="F34" s="151"/>
      <c r="G34" s="151" t="s">
        <v>1262</v>
      </c>
      <c r="H34" s="151"/>
      <c r="I34" s="152"/>
      <c r="J34" s="152"/>
    </row>
    <row r="35" spans="1:10" x14ac:dyDescent="0.2">
      <c r="A35" s="58"/>
      <c r="B35" s="151"/>
      <c r="C35" s="151"/>
      <c r="D35" s="58"/>
      <c r="E35" s="151"/>
      <c r="F35" s="151"/>
      <c r="G35" s="151" t="s">
        <v>1563</v>
      </c>
      <c r="H35" s="151"/>
      <c r="I35" s="152">
        <v>16000</v>
      </c>
      <c r="J35" s="152"/>
    </row>
    <row r="36" spans="1:10" x14ac:dyDescent="0.2">
      <c r="A36" s="58"/>
      <c r="B36" s="151"/>
      <c r="C36" s="151"/>
      <c r="D36" s="58">
        <v>110276</v>
      </c>
      <c r="E36" s="151"/>
      <c r="F36" s="151"/>
      <c r="G36" s="151" t="s">
        <v>1368</v>
      </c>
      <c r="H36" s="151"/>
      <c r="I36" s="152">
        <v>176711</v>
      </c>
      <c r="J36" s="152"/>
    </row>
    <row r="37" spans="1:10" x14ac:dyDescent="0.2">
      <c r="A37" s="58"/>
      <c r="B37" s="151"/>
      <c r="C37" s="151"/>
      <c r="D37" s="58">
        <v>114030</v>
      </c>
      <c r="E37" s="151"/>
      <c r="F37" s="151"/>
      <c r="G37" s="151" t="s">
        <v>1469</v>
      </c>
      <c r="H37" s="151"/>
      <c r="I37" s="152">
        <v>162480</v>
      </c>
      <c r="J37" s="152"/>
    </row>
    <row r="38" spans="1:10" x14ac:dyDescent="0.2">
      <c r="A38" s="58"/>
      <c r="B38" s="151"/>
      <c r="C38" s="151"/>
      <c r="D38" s="58"/>
      <c r="E38" s="151"/>
      <c r="F38" s="151"/>
      <c r="G38" s="151"/>
      <c r="H38" s="151"/>
      <c r="I38" s="152"/>
      <c r="J38" s="152"/>
    </row>
    <row r="39" spans="1:10" ht="13.5" thickBot="1" x14ac:dyDescent="0.25">
      <c r="A39" s="9"/>
      <c r="B39" s="128"/>
      <c r="C39" s="128"/>
      <c r="D39" s="9"/>
      <c r="E39" s="128"/>
      <c r="F39" s="128"/>
      <c r="G39" s="128"/>
      <c r="H39" s="128"/>
      <c r="I39" s="226"/>
      <c r="J39" s="226"/>
    </row>
    <row r="40" spans="1:10" ht="13.5" thickTop="1" x14ac:dyDescent="0.2">
      <c r="A40" s="13"/>
      <c r="B40" s="13"/>
      <c r="C40" s="13"/>
      <c r="D40" s="13"/>
      <c r="E40" s="13"/>
      <c r="F40" s="13"/>
      <c r="G40" s="13"/>
      <c r="H40" s="13" t="s">
        <v>33</v>
      </c>
      <c r="I40" s="140">
        <f>SUM(I23:J39)</f>
        <v>1552855.3800000001</v>
      </c>
      <c r="J40" s="140"/>
    </row>
    <row r="41" spans="1:10" x14ac:dyDescent="0.2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 x14ac:dyDescent="0.25">
      <c r="A42" s="15" t="s">
        <v>46</v>
      </c>
      <c r="B42" s="16"/>
      <c r="C42" s="16"/>
      <c r="D42" s="16"/>
      <c r="E42" s="16"/>
      <c r="F42" s="16"/>
      <c r="G42" s="16"/>
      <c r="H42" s="16"/>
      <c r="I42" s="149" t="s">
        <v>47</v>
      </c>
      <c r="J42" s="150"/>
    </row>
    <row r="43" spans="1:10" x14ac:dyDescent="0.2">
      <c r="A43" s="144" t="s">
        <v>48</v>
      </c>
      <c r="B43" s="144"/>
      <c r="C43" s="144"/>
      <c r="D43" s="144"/>
      <c r="E43" s="144"/>
      <c r="F43" s="144"/>
      <c r="G43" s="144"/>
      <c r="H43" s="144"/>
      <c r="I43" s="148">
        <f>I18*80%</f>
        <v>2438147.8160000001</v>
      </c>
      <c r="J43" s="148"/>
    </row>
    <row r="44" spans="1:10" x14ac:dyDescent="0.2">
      <c r="A44" s="144" t="s">
        <v>49</v>
      </c>
      <c r="B44" s="144"/>
      <c r="C44" s="144"/>
      <c r="D44" s="144"/>
      <c r="E44" s="144"/>
      <c r="F44" s="144"/>
      <c r="G44" s="144"/>
      <c r="H44" s="144"/>
      <c r="I44" s="184"/>
      <c r="J44" s="184"/>
    </row>
    <row r="45" spans="1:10" x14ac:dyDescent="0.2">
      <c r="A45" s="134" t="s">
        <v>1301</v>
      </c>
      <c r="B45" s="134"/>
      <c r="C45" s="134"/>
      <c r="D45" s="134"/>
      <c r="E45" s="134"/>
      <c r="F45" s="134"/>
      <c r="G45" s="134"/>
      <c r="H45" s="134"/>
      <c r="I45" s="135">
        <v>-115011.67</v>
      </c>
      <c r="J45" s="135"/>
    </row>
    <row r="46" spans="1:10" ht="13.5" thickBot="1" x14ac:dyDescent="0.25">
      <c r="A46" s="144" t="s">
        <v>50</v>
      </c>
      <c r="B46" s="144"/>
      <c r="C46" s="144"/>
      <c r="D46" s="144"/>
      <c r="E46" s="144"/>
      <c r="F46" s="144"/>
      <c r="G46" s="144"/>
      <c r="H46" s="144"/>
      <c r="I46" s="145">
        <f>I40</f>
        <v>1552855.3800000001</v>
      </c>
      <c r="J46" s="145"/>
    </row>
    <row r="47" spans="1:10" ht="13.5" thickTop="1" x14ac:dyDescent="0.2">
      <c r="H47" s="18" t="s">
        <v>33</v>
      </c>
      <c r="I47" s="129">
        <f>I43+I44+I45-I46</f>
        <v>770280.76600000006</v>
      </c>
      <c r="J47" s="130"/>
    </row>
    <row r="49" spans="1:10" ht="15" x14ac:dyDescent="0.25">
      <c r="A49" s="131" t="s">
        <v>51</v>
      </c>
      <c r="B49" s="132"/>
      <c r="C49" s="132"/>
      <c r="D49" s="132"/>
      <c r="E49" s="132"/>
      <c r="F49" s="132"/>
      <c r="G49" s="132"/>
      <c r="H49" s="132"/>
      <c r="I49" s="132"/>
      <c r="J49" s="133"/>
    </row>
    <row r="50" spans="1:10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  <row r="53" spans="1:10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</row>
    <row r="54" spans="1:10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</row>
    <row r="55" spans="1:10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</row>
  </sheetData>
  <mergeCells count="133">
    <mergeCell ref="G17:H17"/>
    <mergeCell ref="A20:J20"/>
    <mergeCell ref="A21:A22"/>
    <mergeCell ref="B21:C22"/>
    <mergeCell ref="D21:D22"/>
    <mergeCell ref="I24:J24"/>
    <mergeCell ref="G21:H22"/>
    <mergeCell ref="B24:C24"/>
    <mergeCell ref="E24:F24"/>
    <mergeCell ref="G24:H24"/>
    <mergeCell ref="E21:F22"/>
    <mergeCell ref="D17:E17"/>
    <mergeCell ref="B17:C17"/>
    <mergeCell ref="I21:J22"/>
    <mergeCell ref="B23:C23"/>
    <mergeCell ref="E23:F23"/>
    <mergeCell ref="G23:H23"/>
    <mergeCell ref="I23:J23"/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16:C16"/>
    <mergeCell ref="D16:E16"/>
    <mergeCell ref="G16:H16"/>
    <mergeCell ref="B9:C9"/>
    <mergeCell ref="D9:E9"/>
    <mergeCell ref="B10:C10"/>
    <mergeCell ref="D10:E10"/>
    <mergeCell ref="G9:H9"/>
    <mergeCell ref="B11:C11"/>
    <mergeCell ref="D11:E11"/>
    <mergeCell ref="G11:H11"/>
    <mergeCell ref="G10:H10"/>
    <mergeCell ref="B13:C13"/>
    <mergeCell ref="D12:E12"/>
    <mergeCell ref="D13:E13"/>
    <mergeCell ref="G12:H12"/>
    <mergeCell ref="B12:C12"/>
    <mergeCell ref="G13:H13"/>
    <mergeCell ref="B14:C14"/>
    <mergeCell ref="D14:E14"/>
    <mergeCell ref="G14:H14"/>
    <mergeCell ref="B15:C15"/>
    <mergeCell ref="D15:E15"/>
    <mergeCell ref="G15:H15"/>
    <mergeCell ref="I25:J25"/>
    <mergeCell ref="B26:C26"/>
    <mergeCell ref="E26:F26"/>
    <mergeCell ref="I26:J26"/>
    <mergeCell ref="E28:F28"/>
    <mergeCell ref="G28:H28"/>
    <mergeCell ref="I28:J28"/>
    <mergeCell ref="B27:C27"/>
    <mergeCell ref="E27:F27"/>
    <mergeCell ref="G27:H27"/>
    <mergeCell ref="I27:J27"/>
    <mergeCell ref="G26:H26"/>
    <mergeCell ref="B28:C28"/>
    <mergeCell ref="B25:C25"/>
    <mergeCell ref="E25:F25"/>
    <mergeCell ref="G25:H25"/>
    <mergeCell ref="I29:J29"/>
    <mergeCell ref="B31:C31"/>
    <mergeCell ref="E31:F31"/>
    <mergeCell ref="B30:C30"/>
    <mergeCell ref="E30:F30"/>
    <mergeCell ref="G30:H30"/>
    <mergeCell ref="I30:J30"/>
    <mergeCell ref="B39:C39"/>
    <mergeCell ref="E39:F39"/>
    <mergeCell ref="G39:H39"/>
    <mergeCell ref="I39:J39"/>
    <mergeCell ref="B33:C33"/>
    <mergeCell ref="E33:F33"/>
    <mergeCell ref="G33:H33"/>
    <mergeCell ref="I33:J33"/>
    <mergeCell ref="E37:F37"/>
    <mergeCell ref="G37:H37"/>
    <mergeCell ref="B29:C29"/>
    <mergeCell ref="E29:F29"/>
    <mergeCell ref="G29:H29"/>
    <mergeCell ref="B36:C36"/>
    <mergeCell ref="E36:F36"/>
    <mergeCell ref="G36:H36"/>
    <mergeCell ref="B35:C35"/>
    <mergeCell ref="A49:J49"/>
    <mergeCell ref="A50:J55"/>
    <mergeCell ref="A44:H44"/>
    <mergeCell ref="I44:J44"/>
    <mergeCell ref="A46:H46"/>
    <mergeCell ref="I46:J46"/>
    <mergeCell ref="A45:H45"/>
    <mergeCell ref="I45:J45"/>
    <mergeCell ref="I47:J47"/>
    <mergeCell ref="I40:J40"/>
    <mergeCell ref="I42:J42"/>
    <mergeCell ref="A43:H43"/>
    <mergeCell ref="I43:J43"/>
    <mergeCell ref="G31:H31"/>
    <mergeCell ref="I31:J31"/>
    <mergeCell ref="B32:C32"/>
    <mergeCell ref="E32:F32"/>
    <mergeCell ref="G32:H32"/>
    <mergeCell ref="I32:J32"/>
    <mergeCell ref="I34:J34"/>
    <mergeCell ref="B38:C38"/>
    <mergeCell ref="E38:F38"/>
    <mergeCell ref="G38:H38"/>
    <mergeCell ref="I38:J38"/>
    <mergeCell ref="I36:J36"/>
    <mergeCell ref="B37:C37"/>
    <mergeCell ref="I37:J37"/>
    <mergeCell ref="B34:C34"/>
    <mergeCell ref="E34:F34"/>
    <mergeCell ref="G34:H34"/>
    <mergeCell ref="E35:F35"/>
    <mergeCell ref="G35:H35"/>
    <mergeCell ref="I35:J35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1">
    <pageSetUpPr fitToPage="1"/>
  </sheetPr>
  <dimension ref="A1:J42"/>
  <sheetViews>
    <sheetView topLeftCell="A10" workbookViewId="0">
      <selection activeCell="E17" sqref="E17:F18"/>
    </sheetView>
  </sheetViews>
  <sheetFormatPr defaultRowHeight="12.75" x14ac:dyDescent="0.2"/>
  <cols>
    <col min="6" max="6" width="13.85546875" customWidth="1"/>
    <col min="8" max="8" width="11" customWidth="1"/>
    <col min="9" max="9" width="12.7109375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457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4831624</v>
      </c>
      <c r="C6" s="128"/>
      <c r="D6" s="128">
        <v>4831624</v>
      </c>
      <c r="E6" s="128"/>
      <c r="F6" s="12">
        <v>39302</v>
      </c>
      <c r="G6" s="169" t="s">
        <v>458</v>
      </c>
      <c r="H6" s="169"/>
      <c r="I6" s="32">
        <v>185000.65</v>
      </c>
      <c r="J6" s="32">
        <f>I6*0.8</f>
        <v>148000.51999999999</v>
      </c>
    </row>
    <row r="7" spans="1:10" x14ac:dyDescent="0.2">
      <c r="A7" s="9">
        <v>2</v>
      </c>
      <c r="B7" s="128">
        <v>4831152</v>
      </c>
      <c r="C7" s="128"/>
      <c r="D7" s="128">
        <v>4831209</v>
      </c>
      <c r="E7" s="128"/>
      <c r="F7" s="12">
        <v>39846</v>
      </c>
      <c r="G7" s="169"/>
      <c r="H7" s="169"/>
      <c r="I7" s="32">
        <v>304108.53000000003</v>
      </c>
      <c r="J7" s="32">
        <f>I7*0.8</f>
        <v>243286.82400000002</v>
      </c>
    </row>
    <row r="8" spans="1:10" x14ac:dyDescent="0.2">
      <c r="A8" s="9">
        <v>3</v>
      </c>
      <c r="B8" s="128">
        <v>4831365</v>
      </c>
      <c r="C8" s="128"/>
      <c r="D8" s="128">
        <v>4830008</v>
      </c>
      <c r="E8" s="128"/>
      <c r="F8" s="12">
        <v>39995</v>
      </c>
      <c r="G8" s="169"/>
      <c r="H8" s="169"/>
      <c r="I8" s="32">
        <v>240587.13</v>
      </c>
      <c r="J8" s="32">
        <f>I8*0.8</f>
        <v>192469.70400000003</v>
      </c>
    </row>
    <row r="9" spans="1:10" x14ac:dyDescent="0.2">
      <c r="A9" s="9">
        <v>4</v>
      </c>
      <c r="B9" s="128">
        <v>4830156</v>
      </c>
      <c r="C9" s="128"/>
      <c r="D9" s="128">
        <v>4830148</v>
      </c>
      <c r="E9" s="128"/>
      <c r="F9" s="12">
        <v>40795</v>
      </c>
      <c r="G9" s="169"/>
      <c r="H9" s="169"/>
      <c r="I9" s="32">
        <v>306616.2</v>
      </c>
      <c r="J9" s="32">
        <f>I9*0.8</f>
        <v>245292.96000000002</v>
      </c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1036312.51</v>
      </c>
      <c r="J14" s="33">
        <f>SUM(J6:J13)</f>
        <v>829050.00800000015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28">
        <v>426523</v>
      </c>
      <c r="C19" s="128"/>
      <c r="D19" s="9">
        <v>79966</v>
      </c>
      <c r="E19" s="182">
        <v>40170</v>
      </c>
      <c r="F19" s="128"/>
      <c r="G19" s="128" t="s">
        <v>459</v>
      </c>
      <c r="H19" s="128"/>
      <c r="I19" s="136">
        <v>130952.1</v>
      </c>
      <c r="J19" s="136"/>
    </row>
    <row r="20" spans="1:10" x14ac:dyDescent="0.2">
      <c r="A20" s="9">
        <v>2</v>
      </c>
      <c r="B20" s="128">
        <v>426764</v>
      </c>
      <c r="C20" s="128"/>
      <c r="D20" s="9">
        <v>83594</v>
      </c>
      <c r="E20" s="182">
        <v>41870</v>
      </c>
      <c r="F20" s="128"/>
      <c r="G20" s="128" t="s">
        <v>859</v>
      </c>
      <c r="H20" s="128"/>
      <c r="I20" s="136">
        <v>162166.67000000001</v>
      </c>
      <c r="J20" s="136"/>
    </row>
    <row r="21" spans="1:10" x14ac:dyDescent="0.2">
      <c r="A21" s="19">
        <v>3</v>
      </c>
      <c r="B21" s="137">
        <v>426984</v>
      </c>
      <c r="C21" s="137"/>
      <c r="D21" s="19">
        <v>87786</v>
      </c>
      <c r="E21" s="196">
        <v>41859</v>
      </c>
      <c r="F21" s="137"/>
      <c r="G21" s="137" t="s">
        <v>829</v>
      </c>
      <c r="H21" s="137"/>
      <c r="I21" s="138">
        <v>75955.89</v>
      </c>
      <c r="J21" s="138"/>
    </row>
    <row r="22" spans="1:10" x14ac:dyDescent="0.2">
      <c r="A22" s="19"/>
      <c r="B22" s="137"/>
      <c r="C22" s="137"/>
      <c r="D22" s="19">
        <v>90189</v>
      </c>
      <c r="E22" s="137"/>
      <c r="F22" s="137"/>
      <c r="G22" s="137" t="s">
        <v>939</v>
      </c>
      <c r="H22" s="137"/>
      <c r="I22" s="138">
        <v>4879.8</v>
      </c>
      <c r="J22" s="138"/>
    </row>
    <row r="23" spans="1:10" x14ac:dyDescent="0.2">
      <c r="A23" s="19"/>
      <c r="B23" s="137"/>
      <c r="C23" s="137"/>
      <c r="D23" s="19">
        <v>92497</v>
      </c>
      <c r="E23" s="196">
        <v>42828</v>
      </c>
      <c r="F23" s="137"/>
      <c r="G23" s="137" t="s">
        <v>959</v>
      </c>
      <c r="H23" s="137"/>
      <c r="I23" s="138">
        <v>64980.55</v>
      </c>
      <c r="J23" s="138"/>
    </row>
    <row r="24" spans="1:10" x14ac:dyDescent="0.2">
      <c r="A24" s="9"/>
      <c r="B24" s="128"/>
      <c r="C24" s="128"/>
      <c r="D24" s="9">
        <v>108877</v>
      </c>
      <c r="E24" s="128"/>
      <c r="F24" s="128"/>
      <c r="G24" s="128" t="s">
        <v>1295</v>
      </c>
      <c r="H24" s="128"/>
      <c r="I24" s="136">
        <v>99161.68</v>
      </c>
      <c r="J24" s="136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ht="13.5" thickBot="1" x14ac:dyDescent="0.25">
      <c r="A26" s="9"/>
      <c r="B26" s="128"/>
      <c r="C26" s="128"/>
      <c r="D26" s="9"/>
      <c r="E26" s="128"/>
      <c r="F26" s="128"/>
      <c r="G26" s="128"/>
      <c r="H26" s="128"/>
      <c r="I26" s="226"/>
      <c r="J26" s="22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0">
        <f>SUM(I19:J26)</f>
        <v>538096.68999999994</v>
      </c>
      <c r="J27" s="140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49" t="s">
        <v>47</v>
      </c>
      <c r="J29" s="150"/>
    </row>
    <row r="30" spans="1:10" x14ac:dyDescent="0.2">
      <c r="A30" s="144" t="s">
        <v>48</v>
      </c>
      <c r="B30" s="144"/>
      <c r="C30" s="144"/>
      <c r="D30" s="144"/>
      <c r="E30" s="144"/>
      <c r="F30" s="144"/>
      <c r="G30" s="144"/>
      <c r="H30" s="144"/>
      <c r="I30" s="148">
        <f>I14*80%</f>
        <v>829050.00800000003</v>
      </c>
      <c r="J30" s="148"/>
    </row>
    <row r="31" spans="1:10" x14ac:dyDescent="0.2">
      <c r="A31" s="144" t="s">
        <v>49</v>
      </c>
      <c r="B31" s="144"/>
      <c r="C31" s="144"/>
      <c r="D31" s="144"/>
      <c r="E31" s="144"/>
      <c r="F31" s="144"/>
      <c r="G31" s="144"/>
      <c r="H31" s="144"/>
      <c r="I31" s="184">
        <v>0</v>
      </c>
      <c r="J31" s="184"/>
    </row>
    <row r="32" spans="1:10" x14ac:dyDescent="0.2">
      <c r="A32" s="134" t="s">
        <v>1339</v>
      </c>
      <c r="B32" s="134"/>
      <c r="C32" s="134"/>
      <c r="D32" s="134"/>
      <c r="E32" s="134"/>
      <c r="F32" s="134"/>
      <c r="G32" s="134"/>
      <c r="H32" s="134"/>
      <c r="I32" s="135">
        <v>-77147.34</v>
      </c>
      <c r="J32" s="135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145">
        <f>I27</f>
        <v>538096.68999999994</v>
      </c>
      <c r="J33" s="145"/>
    </row>
    <row r="34" spans="1:10" ht="13.5" thickTop="1" x14ac:dyDescent="0.2">
      <c r="H34" s="18" t="s">
        <v>33</v>
      </c>
      <c r="I34" s="129">
        <f>I30+I31+I32-I33</f>
        <v>213805.97800000012</v>
      </c>
      <c r="J34" s="130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139" t="s">
        <v>815</v>
      </c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85">
    <mergeCell ref="I34:J34"/>
    <mergeCell ref="A36:J36"/>
    <mergeCell ref="A37:J42"/>
    <mergeCell ref="A31:H31"/>
    <mergeCell ref="I31:J31"/>
    <mergeCell ref="A33:H33"/>
    <mergeCell ref="I33:J33"/>
    <mergeCell ref="A32:H32"/>
    <mergeCell ref="I32:J32"/>
    <mergeCell ref="I29:J29"/>
    <mergeCell ref="A30:H30"/>
    <mergeCell ref="I30:J30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I27:J27"/>
    <mergeCell ref="B23:C23"/>
    <mergeCell ref="E23:F23"/>
    <mergeCell ref="G23:H23"/>
    <mergeCell ref="I23:J23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2">
    <pageSetUpPr fitToPage="1"/>
  </sheetPr>
  <dimension ref="A1:J53"/>
  <sheetViews>
    <sheetView topLeftCell="A19" workbookViewId="0">
      <selection activeCell="A32" sqref="A32"/>
    </sheetView>
  </sheetViews>
  <sheetFormatPr defaultRowHeight="12.75" x14ac:dyDescent="0.2"/>
  <cols>
    <col min="6" max="6" width="10.42578125" customWidth="1"/>
    <col min="8" max="8" width="18" customWidth="1"/>
    <col min="9" max="9" width="13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460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4931467</v>
      </c>
      <c r="C6" s="128"/>
      <c r="D6" s="128">
        <v>4930525</v>
      </c>
      <c r="E6" s="128"/>
      <c r="F6" s="12">
        <v>33634</v>
      </c>
      <c r="G6" s="169" t="s">
        <v>461</v>
      </c>
      <c r="H6" s="169"/>
      <c r="I6" s="32">
        <v>530600.5</v>
      </c>
      <c r="J6" s="32">
        <f t="shared" ref="J6:J13" si="0">I6*0.8</f>
        <v>424480.4</v>
      </c>
    </row>
    <row r="7" spans="1:10" x14ac:dyDescent="0.2">
      <c r="A7" s="9">
        <v>2</v>
      </c>
      <c r="B7" s="128">
        <v>4931904</v>
      </c>
      <c r="C7" s="128"/>
      <c r="D7" s="128">
        <v>4931904</v>
      </c>
      <c r="E7" s="128"/>
      <c r="F7" s="12">
        <v>34583</v>
      </c>
      <c r="G7" s="169" t="s">
        <v>462</v>
      </c>
      <c r="H7" s="169"/>
      <c r="I7" s="32">
        <v>234979.17</v>
      </c>
      <c r="J7" s="32">
        <f t="shared" si="0"/>
        <v>187983.33600000001</v>
      </c>
    </row>
    <row r="8" spans="1:10" x14ac:dyDescent="0.2">
      <c r="A8" s="9">
        <v>3</v>
      </c>
      <c r="B8" s="128">
        <v>4930819</v>
      </c>
      <c r="C8" s="128"/>
      <c r="D8" s="128">
        <v>4930819</v>
      </c>
      <c r="E8" s="128"/>
      <c r="F8" s="12">
        <v>34583</v>
      </c>
      <c r="G8" s="169" t="s">
        <v>463</v>
      </c>
      <c r="H8" s="169"/>
      <c r="I8" s="32">
        <v>203631.97</v>
      </c>
      <c r="J8" s="32">
        <f t="shared" si="0"/>
        <v>162905.576</v>
      </c>
    </row>
    <row r="9" spans="1:10" x14ac:dyDescent="0.2">
      <c r="A9" s="9">
        <v>4</v>
      </c>
      <c r="B9" s="128">
        <v>4931653</v>
      </c>
      <c r="C9" s="128"/>
      <c r="D9" s="128">
        <v>4931653</v>
      </c>
      <c r="E9" s="128"/>
      <c r="F9" s="12">
        <v>34779</v>
      </c>
      <c r="G9" s="169" t="s">
        <v>464</v>
      </c>
      <c r="H9" s="169"/>
      <c r="I9" s="32">
        <v>282201.90999999997</v>
      </c>
      <c r="J9" s="32">
        <f t="shared" si="0"/>
        <v>225761.52799999999</v>
      </c>
    </row>
    <row r="10" spans="1:10" x14ac:dyDescent="0.2">
      <c r="A10" s="9">
        <v>5</v>
      </c>
      <c r="B10" s="128">
        <v>4930592</v>
      </c>
      <c r="C10" s="128"/>
      <c r="D10" s="128">
        <v>4931254</v>
      </c>
      <c r="E10" s="128"/>
      <c r="F10" s="12">
        <v>35039</v>
      </c>
      <c r="G10" s="169" t="s">
        <v>465</v>
      </c>
      <c r="H10" s="169"/>
      <c r="I10" s="32">
        <v>195227.5</v>
      </c>
      <c r="J10" s="32">
        <f t="shared" si="0"/>
        <v>156182</v>
      </c>
    </row>
    <row r="11" spans="1:10" x14ac:dyDescent="0.2">
      <c r="A11" s="9">
        <v>6</v>
      </c>
      <c r="B11" s="128">
        <v>4930134</v>
      </c>
      <c r="C11" s="128"/>
      <c r="D11" s="128"/>
      <c r="E11" s="128"/>
      <c r="F11" s="12">
        <v>35565</v>
      </c>
      <c r="G11" s="169" t="s">
        <v>466</v>
      </c>
      <c r="H11" s="169"/>
      <c r="I11" s="32">
        <v>129882.5</v>
      </c>
      <c r="J11" s="32">
        <f t="shared" si="0"/>
        <v>103906</v>
      </c>
    </row>
    <row r="12" spans="1:10" ht="12.75" customHeight="1" x14ac:dyDescent="0.2">
      <c r="A12" s="9">
        <v>7</v>
      </c>
      <c r="B12" s="128">
        <v>4932285</v>
      </c>
      <c r="C12" s="128"/>
      <c r="D12" s="128" t="s">
        <v>1151</v>
      </c>
      <c r="E12" s="128"/>
      <c r="F12" s="12">
        <v>44845</v>
      </c>
      <c r="G12" s="169" t="s">
        <v>1592</v>
      </c>
      <c r="H12" s="169"/>
      <c r="I12" s="32">
        <v>288224.90999999997</v>
      </c>
      <c r="J12" s="32">
        <f t="shared" si="0"/>
        <v>230579.92799999999</v>
      </c>
    </row>
    <row r="13" spans="1:10" x14ac:dyDescent="0.2">
      <c r="A13" s="9">
        <v>8</v>
      </c>
      <c r="B13" s="128">
        <v>4931777</v>
      </c>
      <c r="C13" s="128"/>
      <c r="D13" s="128">
        <v>4931778</v>
      </c>
      <c r="E13" s="128"/>
      <c r="F13" s="12">
        <v>45161</v>
      </c>
      <c r="G13" s="169" t="s">
        <v>1640</v>
      </c>
      <c r="H13" s="169"/>
      <c r="I13" s="32">
        <v>145361.64000000001</v>
      </c>
      <c r="J13" s="32">
        <f t="shared" si="0"/>
        <v>116289.31200000002</v>
      </c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2010110.1</v>
      </c>
      <c r="J14" s="33">
        <f>SUM(J6:J13)</f>
        <v>1608088.08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 t="s">
        <v>467</v>
      </c>
      <c r="C19" s="128"/>
      <c r="D19" s="9">
        <v>7789</v>
      </c>
      <c r="E19" s="182">
        <v>35034</v>
      </c>
      <c r="F19" s="128"/>
      <c r="G19" s="128">
        <v>4904001</v>
      </c>
      <c r="H19" s="128"/>
      <c r="I19" s="136">
        <v>42814</v>
      </c>
      <c r="J19" s="136"/>
    </row>
    <row r="20" spans="1:10" x14ac:dyDescent="0.2">
      <c r="A20" s="9">
        <v>2</v>
      </c>
      <c r="B20" s="183" t="s">
        <v>468</v>
      </c>
      <c r="C20" s="128"/>
      <c r="D20" s="9">
        <v>7788</v>
      </c>
      <c r="E20" s="182">
        <v>34851</v>
      </c>
      <c r="F20" s="128"/>
      <c r="G20" s="128">
        <v>4903001</v>
      </c>
      <c r="H20" s="128"/>
      <c r="I20" s="136">
        <v>49400.26</v>
      </c>
      <c r="J20" s="136"/>
    </row>
    <row r="21" spans="1:10" x14ac:dyDescent="0.2">
      <c r="A21" s="9">
        <v>3</v>
      </c>
      <c r="B21" s="183" t="s">
        <v>469</v>
      </c>
      <c r="C21" s="128"/>
      <c r="D21" s="9">
        <v>7979</v>
      </c>
      <c r="E21" s="182">
        <v>35096</v>
      </c>
      <c r="F21" s="128"/>
      <c r="G21" s="183" t="s">
        <v>470</v>
      </c>
      <c r="H21" s="128"/>
      <c r="I21" s="136">
        <v>51795</v>
      </c>
      <c r="J21" s="136"/>
    </row>
    <row r="22" spans="1:10" x14ac:dyDescent="0.2">
      <c r="A22" s="9">
        <v>4</v>
      </c>
      <c r="B22" s="183" t="s">
        <v>471</v>
      </c>
      <c r="C22" s="128"/>
      <c r="D22" s="9">
        <v>7975</v>
      </c>
      <c r="E22" s="182">
        <v>35855</v>
      </c>
      <c r="F22" s="128"/>
      <c r="G22" s="128">
        <v>4903002</v>
      </c>
      <c r="H22" s="128"/>
      <c r="I22" s="136">
        <v>71258</v>
      </c>
      <c r="J22" s="136"/>
    </row>
    <row r="23" spans="1:10" x14ac:dyDescent="0.2">
      <c r="A23" s="9">
        <v>5</v>
      </c>
      <c r="B23" s="183" t="s">
        <v>472</v>
      </c>
      <c r="C23" s="128"/>
      <c r="D23" s="9">
        <v>10873</v>
      </c>
      <c r="E23" s="182">
        <v>36465</v>
      </c>
      <c r="F23" s="128"/>
      <c r="G23" s="128">
        <v>4906001</v>
      </c>
      <c r="H23" s="128"/>
      <c r="I23" s="136">
        <v>434102</v>
      </c>
      <c r="J23" s="136"/>
    </row>
    <row r="24" spans="1:10" x14ac:dyDescent="0.2">
      <c r="A24" s="9">
        <v>6</v>
      </c>
      <c r="B24" s="183" t="s">
        <v>473</v>
      </c>
      <c r="C24" s="128"/>
      <c r="D24" s="9">
        <v>7787</v>
      </c>
      <c r="E24" s="182">
        <v>35765</v>
      </c>
      <c r="F24" s="128"/>
      <c r="G24" s="128">
        <v>4905001</v>
      </c>
      <c r="H24" s="128"/>
      <c r="I24" s="136">
        <v>75370</v>
      </c>
      <c r="J24" s="136"/>
    </row>
    <row r="25" spans="1:10" x14ac:dyDescent="0.2">
      <c r="A25" s="9">
        <v>7</v>
      </c>
      <c r="B25" s="128"/>
      <c r="C25" s="128"/>
      <c r="D25" s="9">
        <v>16706</v>
      </c>
      <c r="E25" s="182">
        <v>41403</v>
      </c>
      <c r="F25" s="128"/>
      <c r="G25" s="192" t="s">
        <v>475</v>
      </c>
      <c r="H25" s="204"/>
      <c r="I25" s="136">
        <v>226490.8</v>
      </c>
      <c r="J25" s="136"/>
    </row>
    <row r="26" spans="1:10" x14ac:dyDescent="0.2">
      <c r="A26" s="19">
        <v>9</v>
      </c>
      <c r="B26" s="164"/>
      <c r="C26" s="165"/>
      <c r="D26" s="19">
        <v>16705</v>
      </c>
      <c r="E26" s="162">
        <v>41962</v>
      </c>
      <c r="F26" s="165"/>
      <c r="G26" s="164" t="s">
        <v>477</v>
      </c>
      <c r="H26" s="165"/>
      <c r="I26" s="166">
        <v>167154.17000000001</v>
      </c>
      <c r="J26" s="167"/>
    </row>
    <row r="27" spans="1:10" x14ac:dyDescent="0.2">
      <c r="A27" s="19"/>
      <c r="B27" s="164"/>
      <c r="C27" s="165"/>
      <c r="D27" s="19">
        <v>87270</v>
      </c>
      <c r="E27" s="164" t="s">
        <v>864</v>
      </c>
      <c r="F27" s="165"/>
      <c r="G27" s="164"/>
      <c r="H27" s="165"/>
      <c r="I27" s="166">
        <v>17929.400000000001</v>
      </c>
      <c r="J27" s="167"/>
    </row>
    <row r="28" spans="1:10" x14ac:dyDescent="0.2">
      <c r="A28" s="19"/>
      <c r="B28" s="164"/>
      <c r="C28" s="165"/>
      <c r="D28" s="19">
        <v>88870</v>
      </c>
      <c r="E28" s="164" t="s">
        <v>912</v>
      </c>
      <c r="F28" s="165"/>
      <c r="G28" s="164"/>
      <c r="H28" s="165"/>
      <c r="I28" s="166">
        <v>14482.8</v>
      </c>
      <c r="J28" s="167"/>
    </row>
    <row r="29" spans="1:10" x14ac:dyDescent="0.2">
      <c r="A29" s="19"/>
      <c r="B29" s="137"/>
      <c r="C29" s="137"/>
      <c r="D29" s="19">
        <v>90189</v>
      </c>
      <c r="E29" s="137" t="s">
        <v>939</v>
      </c>
      <c r="F29" s="137"/>
      <c r="G29" s="137"/>
      <c r="H29" s="137"/>
      <c r="I29" s="138">
        <v>8943.6</v>
      </c>
      <c r="J29" s="138"/>
    </row>
    <row r="30" spans="1:10" x14ac:dyDescent="0.2">
      <c r="A30" s="19"/>
      <c r="B30" s="137"/>
      <c r="C30" s="137"/>
      <c r="D30" s="19">
        <v>93896</v>
      </c>
      <c r="E30" s="137" t="s">
        <v>1027</v>
      </c>
      <c r="F30" s="137"/>
      <c r="G30" s="137"/>
      <c r="H30" s="137"/>
      <c r="I30" s="138">
        <v>2089.1999999999998</v>
      </c>
      <c r="J30" s="138"/>
    </row>
    <row r="31" spans="1:10" x14ac:dyDescent="0.2">
      <c r="A31" s="19">
        <v>10</v>
      </c>
      <c r="B31" s="164"/>
      <c r="C31" s="165"/>
      <c r="D31" s="19">
        <v>16707</v>
      </c>
      <c r="E31" s="162">
        <v>43025</v>
      </c>
      <c r="F31" s="165"/>
      <c r="G31" s="164" t="s">
        <v>1148</v>
      </c>
      <c r="H31" s="165"/>
      <c r="I31" s="166">
        <v>26245.56</v>
      </c>
      <c r="J31" s="167"/>
    </row>
    <row r="32" spans="1:10" x14ac:dyDescent="0.2">
      <c r="A32" s="82"/>
      <c r="B32" s="157"/>
      <c r="C32" s="156"/>
      <c r="D32" s="82">
        <v>103815</v>
      </c>
      <c r="E32" s="157"/>
      <c r="F32" s="156"/>
      <c r="G32" s="157" t="s">
        <v>1202</v>
      </c>
      <c r="H32" s="156"/>
      <c r="I32" s="158">
        <v>138750</v>
      </c>
      <c r="J32" s="159"/>
    </row>
    <row r="33" spans="1:10" x14ac:dyDescent="0.2">
      <c r="A33" s="58"/>
      <c r="B33" s="320"/>
      <c r="C33" s="321"/>
      <c r="D33" s="82">
        <v>115657</v>
      </c>
      <c r="E33" s="157"/>
      <c r="F33" s="156"/>
      <c r="G33" s="157" t="s">
        <v>1653</v>
      </c>
      <c r="H33" s="156"/>
      <c r="I33" s="158">
        <v>137223</v>
      </c>
      <c r="J33" s="159"/>
    </row>
    <row r="34" spans="1:10" x14ac:dyDescent="0.2">
      <c r="A34" s="58"/>
      <c r="B34" s="320"/>
      <c r="C34" s="321"/>
      <c r="D34" s="58"/>
      <c r="E34" s="320"/>
      <c r="F34" s="321"/>
      <c r="G34" s="320"/>
      <c r="H34" s="321"/>
      <c r="I34" s="323"/>
      <c r="J34" s="324"/>
    </row>
    <row r="35" spans="1:10" ht="13.5" thickBot="1" x14ac:dyDescent="0.25">
      <c r="A35" s="9"/>
      <c r="B35" s="151"/>
      <c r="C35" s="151"/>
      <c r="D35" s="58"/>
      <c r="E35" s="151"/>
      <c r="F35" s="151"/>
      <c r="G35" s="151"/>
      <c r="H35" s="151"/>
      <c r="I35" s="322"/>
      <c r="J35" s="322"/>
    </row>
    <row r="36" spans="1:10" ht="13.5" thickTop="1" x14ac:dyDescent="0.2">
      <c r="A36" s="13"/>
      <c r="B36" s="13"/>
      <c r="C36" s="13"/>
      <c r="D36" s="13"/>
      <c r="E36" s="13"/>
      <c r="F36" s="13"/>
      <c r="G36" s="13"/>
      <c r="H36" s="13" t="s">
        <v>33</v>
      </c>
      <c r="I36" s="140">
        <f>SUM(I19:J35)</f>
        <v>1464047.79</v>
      </c>
      <c r="J36" s="140"/>
    </row>
    <row r="37" spans="1:1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149" t="s">
        <v>47</v>
      </c>
      <c r="J38" s="150"/>
    </row>
    <row r="39" spans="1:10" x14ac:dyDescent="0.2">
      <c r="A39" s="144" t="s">
        <v>48</v>
      </c>
      <c r="B39" s="144"/>
      <c r="C39" s="144"/>
      <c r="D39" s="144"/>
      <c r="E39" s="144"/>
      <c r="F39" s="144"/>
      <c r="G39" s="144"/>
      <c r="H39" s="144"/>
      <c r="I39" s="148">
        <f>I14*80%</f>
        <v>1608088.08</v>
      </c>
      <c r="J39" s="148"/>
    </row>
    <row r="40" spans="1:10" x14ac:dyDescent="0.2">
      <c r="A40" s="144" t="s">
        <v>49</v>
      </c>
      <c r="B40" s="144"/>
      <c r="C40" s="144"/>
      <c r="D40" s="144"/>
      <c r="E40" s="144"/>
      <c r="F40" s="144"/>
      <c r="G40" s="144"/>
      <c r="H40" s="144"/>
      <c r="I40" s="184">
        <v>232355</v>
      </c>
      <c r="J40" s="184"/>
    </row>
    <row r="41" spans="1:10" x14ac:dyDescent="0.2">
      <c r="A41" s="231" t="s">
        <v>1145</v>
      </c>
      <c r="B41" s="144"/>
      <c r="C41" s="144"/>
      <c r="D41" s="144"/>
      <c r="E41" s="144"/>
      <c r="F41" s="144"/>
      <c r="G41" s="144"/>
      <c r="H41" s="144"/>
      <c r="I41" s="184">
        <v>-136904</v>
      </c>
      <c r="J41" s="184"/>
    </row>
    <row r="42" spans="1:10" x14ac:dyDescent="0.2">
      <c r="A42" s="134" t="s">
        <v>1351</v>
      </c>
      <c r="B42" s="134"/>
      <c r="C42" s="134"/>
      <c r="D42" s="134"/>
      <c r="E42" s="134"/>
      <c r="F42" s="134"/>
      <c r="G42" s="134"/>
      <c r="H42" s="134"/>
      <c r="I42" s="135">
        <v>-128271.9</v>
      </c>
      <c r="J42" s="135"/>
    </row>
    <row r="43" spans="1:10" x14ac:dyDescent="0.2">
      <c r="A43" s="134" t="s">
        <v>1365</v>
      </c>
      <c r="B43" s="134"/>
      <c r="C43" s="134"/>
      <c r="D43" s="134"/>
      <c r="E43" s="134"/>
      <c r="F43" s="134"/>
      <c r="G43" s="134"/>
      <c r="H43" s="134"/>
      <c r="I43" s="135">
        <v>-111218.7</v>
      </c>
      <c r="J43" s="135"/>
    </row>
    <row r="44" spans="1:10" ht="13.5" thickBot="1" x14ac:dyDescent="0.25">
      <c r="A44" s="144" t="s">
        <v>50</v>
      </c>
      <c r="B44" s="144"/>
      <c r="C44" s="144"/>
      <c r="D44" s="144"/>
      <c r="E44" s="144"/>
      <c r="F44" s="144"/>
      <c r="G44" s="144"/>
      <c r="H44" s="144"/>
      <c r="I44" s="145">
        <f>I36</f>
        <v>1464047.79</v>
      </c>
      <c r="J44" s="145"/>
    </row>
    <row r="45" spans="1:10" ht="13.5" thickTop="1" x14ac:dyDescent="0.2">
      <c r="H45" s="18" t="s">
        <v>33</v>
      </c>
      <c r="I45" s="129">
        <f>I39+I40+I41+I42+I43-I44</f>
        <v>0.69000000017695129</v>
      </c>
      <c r="J45" s="130"/>
    </row>
    <row r="47" spans="1:10" ht="15" x14ac:dyDescent="0.25">
      <c r="A47" s="131" t="s">
        <v>51</v>
      </c>
      <c r="B47" s="132"/>
      <c r="C47" s="132"/>
      <c r="D47" s="132"/>
      <c r="E47" s="132"/>
      <c r="F47" s="132"/>
      <c r="G47" s="132"/>
      <c r="H47" s="132"/>
      <c r="I47" s="132"/>
      <c r="J47" s="133"/>
    </row>
    <row r="48" spans="1:10" x14ac:dyDescent="0.2">
      <c r="A48" s="139" t="s">
        <v>474</v>
      </c>
      <c r="B48" s="139"/>
      <c r="C48" s="139"/>
      <c r="D48" s="139"/>
      <c r="E48" s="139"/>
      <c r="F48" s="139"/>
      <c r="G48" s="139"/>
      <c r="H48" s="139"/>
      <c r="I48" s="139"/>
      <c r="J48" s="139"/>
    </row>
    <row r="49" spans="1:10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  <row r="53" spans="1:10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</row>
  </sheetData>
  <mergeCells count="125">
    <mergeCell ref="B30:C30"/>
    <mergeCell ref="E30:F30"/>
    <mergeCell ref="G30:H30"/>
    <mergeCell ref="I30:J30"/>
    <mergeCell ref="I45:J45"/>
    <mergeCell ref="I34:J34"/>
    <mergeCell ref="G34:H34"/>
    <mergeCell ref="E34:F34"/>
    <mergeCell ref="B34:C34"/>
    <mergeCell ref="B31:C31"/>
    <mergeCell ref="E31:F31"/>
    <mergeCell ref="G31:H31"/>
    <mergeCell ref="I31:J31"/>
    <mergeCell ref="B32:C32"/>
    <mergeCell ref="E32:F32"/>
    <mergeCell ref="G32:H32"/>
    <mergeCell ref="I32:J32"/>
    <mergeCell ref="B33:C33"/>
    <mergeCell ref="E33:F33"/>
    <mergeCell ref="G33:H33"/>
    <mergeCell ref="I33:J33"/>
    <mergeCell ref="A47:J47"/>
    <mergeCell ref="I39:J39"/>
    <mergeCell ref="B35:C35"/>
    <mergeCell ref="E35:F35"/>
    <mergeCell ref="G35:H35"/>
    <mergeCell ref="I35:J35"/>
    <mergeCell ref="A41:H41"/>
    <mergeCell ref="I41:J41"/>
    <mergeCell ref="A42:H42"/>
    <mergeCell ref="I42:J42"/>
    <mergeCell ref="A43:H43"/>
    <mergeCell ref="I43:J43"/>
    <mergeCell ref="A48:J53"/>
    <mergeCell ref="I4:I5"/>
    <mergeCell ref="J4:J5"/>
    <mergeCell ref="A40:H40"/>
    <mergeCell ref="I40:J40"/>
    <mergeCell ref="A44:H44"/>
    <mergeCell ref="I44:J44"/>
    <mergeCell ref="I36:J36"/>
    <mergeCell ref="I38:J38"/>
    <mergeCell ref="A39:H39"/>
    <mergeCell ref="B25:C25"/>
    <mergeCell ref="E25:F25"/>
    <mergeCell ref="G25:H25"/>
    <mergeCell ref="I25:J25"/>
    <mergeCell ref="B29:C29"/>
    <mergeCell ref="E29:F29"/>
    <mergeCell ref="G29:H29"/>
    <mergeCell ref="I29:J29"/>
    <mergeCell ref="E27:F27"/>
    <mergeCell ref="E28:F28"/>
    <mergeCell ref="B23:C23"/>
    <mergeCell ref="E23:F23"/>
    <mergeCell ref="G23:H23"/>
    <mergeCell ref="I23:J23"/>
    <mergeCell ref="B24:C24"/>
    <mergeCell ref="E24:F24"/>
    <mergeCell ref="G24:H24"/>
    <mergeCell ref="I24:J24"/>
    <mergeCell ref="B27:C27"/>
    <mergeCell ref="B21:C21"/>
    <mergeCell ref="E21:F21"/>
    <mergeCell ref="G21:H21"/>
    <mergeCell ref="I21:J21"/>
    <mergeCell ref="B22:C22"/>
    <mergeCell ref="E22:F22"/>
    <mergeCell ref="G22:H22"/>
    <mergeCell ref="I22:J22"/>
    <mergeCell ref="B26:C26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7:C7"/>
    <mergeCell ref="D7:E7"/>
    <mergeCell ref="G7:H7"/>
    <mergeCell ref="B13:C13"/>
    <mergeCell ref="D13:E13"/>
    <mergeCell ref="G13:H13"/>
    <mergeCell ref="B11:C11"/>
    <mergeCell ref="D11:E11"/>
    <mergeCell ref="G11:H11"/>
    <mergeCell ref="B10:C10"/>
    <mergeCell ref="D10:E10"/>
    <mergeCell ref="G10:H10"/>
    <mergeCell ref="B12:C12"/>
    <mergeCell ref="D12:E12"/>
    <mergeCell ref="G12:H12"/>
    <mergeCell ref="B28:C28"/>
    <mergeCell ref="G6:H6"/>
    <mergeCell ref="A3:J3"/>
    <mergeCell ref="A4:A5"/>
    <mergeCell ref="B4:E4"/>
    <mergeCell ref="F4:F5"/>
    <mergeCell ref="G4:H5"/>
    <mergeCell ref="B5:C5"/>
    <mergeCell ref="D5:E5"/>
    <mergeCell ref="B6:C6"/>
    <mergeCell ref="E26:F26"/>
    <mergeCell ref="G26:H26"/>
    <mergeCell ref="I26:J26"/>
    <mergeCell ref="G27:H27"/>
    <mergeCell ref="G28:H28"/>
    <mergeCell ref="I27:J27"/>
    <mergeCell ref="I28:J28"/>
    <mergeCell ref="B9:C9"/>
    <mergeCell ref="D9:E9"/>
    <mergeCell ref="G9:H9"/>
    <mergeCell ref="D6:E6"/>
    <mergeCell ref="B8:C8"/>
    <mergeCell ref="D8:E8"/>
    <mergeCell ref="G8:H8"/>
  </mergeCells>
  <phoneticPr fontId="6" type="noConversion"/>
  <pageMargins left="0.75" right="0.75" top="1" bottom="1" header="0.5" footer="0.5"/>
  <pageSetup scale="8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33">
    <pageSetUpPr fitToPage="1"/>
  </sheetPr>
  <dimension ref="A1:K84"/>
  <sheetViews>
    <sheetView topLeftCell="A37" workbookViewId="0">
      <selection activeCell="K56" sqref="K56"/>
    </sheetView>
  </sheetViews>
  <sheetFormatPr defaultRowHeight="12.75" x14ac:dyDescent="0.2"/>
  <cols>
    <col min="6" max="6" width="12.42578125" customWidth="1"/>
    <col min="8" max="8" width="13.140625" customWidth="1"/>
    <col min="9" max="9" width="12.7109375" bestFit="1" customWidth="1"/>
    <col min="10" max="10" width="14.28515625" customWidth="1"/>
    <col min="11" max="11" width="13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478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5131855</v>
      </c>
      <c r="C6" s="128"/>
      <c r="D6" s="128">
        <v>5136393</v>
      </c>
      <c r="E6" s="128"/>
      <c r="F6" s="12">
        <v>33046</v>
      </c>
      <c r="G6" s="169" t="s">
        <v>479</v>
      </c>
      <c r="H6" s="169"/>
      <c r="I6" s="32">
        <v>167322.18</v>
      </c>
      <c r="J6" s="32">
        <f>I6*0.8</f>
        <v>133857.74400000001</v>
      </c>
    </row>
    <row r="7" spans="1:10" x14ac:dyDescent="0.2">
      <c r="A7" s="9">
        <v>2</v>
      </c>
      <c r="B7" s="128">
        <v>5132908</v>
      </c>
      <c r="C7" s="128"/>
      <c r="D7" s="128">
        <v>5138191</v>
      </c>
      <c r="E7" s="128"/>
      <c r="F7" s="12">
        <v>33723</v>
      </c>
      <c r="G7" s="169" t="s">
        <v>480</v>
      </c>
      <c r="H7" s="169"/>
      <c r="I7" s="32">
        <v>278666.45</v>
      </c>
      <c r="J7" s="32">
        <f t="shared" ref="J7:J19" si="0">I7*0.8</f>
        <v>222933.16000000003</v>
      </c>
    </row>
    <row r="8" spans="1:10" x14ac:dyDescent="0.2">
      <c r="A8" s="9">
        <v>3</v>
      </c>
      <c r="B8" s="128">
        <v>5131030</v>
      </c>
      <c r="C8" s="128"/>
      <c r="D8" s="128">
        <v>5131030</v>
      </c>
      <c r="E8" s="128"/>
      <c r="F8" s="12">
        <v>34064</v>
      </c>
      <c r="G8" s="169" t="s">
        <v>481</v>
      </c>
      <c r="H8" s="169"/>
      <c r="I8" s="32">
        <v>202547</v>
      </c>
      <c r="J8" s="32">
        <f t="shared" si="0"/>
        <v>162037.6</v>
      </c>
    </row>
    <row r="9" spans="1:10" x14ac:dyDescent="0.2">
      <c r="A9" s="9">
        <v>4</v>
      </c>
      <c r="B9" s="128">
        <v>5132843</v>
      </c>
      <c r="C9" s="128"/>
      <c r="D9" s="128">
        <v>5132843</v>
      </c>
      <c r="E9" s="128"/>
      <c r="F9" s="12">
        <v>34459</v>
      </c>
      <c r="G9" s="169" t="s">
        <v>482</v>
      </c>
      <c r="H9" s="169"/>
      <c r="I9" s="32">
        <v>104891.55</v>
      </c>
      <c r="J9" s="32">
        <f t="shared" si="0"/>
        <v>83913.24</v>
      </c>
    </row>
    <row r="10" spans="1:10" x14ac:dyDescent="0.2">
      <c r="A10" s="9">
        <v>5</v>
      </c>
      <c r="B10" s="128">
        <v>5132835</v>
      </c>
      <c r="C10" s="128"/>
      <c r="D10" s="128">
        <v>5132835</v>
      </c>
      <c r="E10" s="128"/>
      <c r="F10" s="12">
        <v>34459</v>
      </c>
      <c r="G10" s="169" t="s">
        <v>483</v>
      </c>
      <c r="H10" s="169"/>
      <c r="I10" s="32">
        <v>213479.23</v>
      </c>
      <c r="J10" s="32">
        <f t="shared" si="0"/>
        <v>170783.38400000002</v>
      </c>
    </row>
    <row r="11" spans="1:10" x14ac:dyDescent="0.2">
      <c r="A11" s="9">
        <v>6</v>
      </c>
      <c r="B11" s="128">
        <v>5131367</v>
      </c>
      <c r="C11" s="128"/>
      <c r="D11" s="128">
        <v>5131367</v>
      </c>
      <c r="E11" s="128"/>
      <c r="F11" s="12">
        <v>34064</v>
      </c>
      <c r="G11" s="169" t="s">
        <v>484</v>
      </c>
      <c r="H11" s="169"/>
      <c r="I11" s="32">
        <v>60261</v>
      </c>
      <c r="J11" s="32">
        <f t="shared" si="0"/>
        <v>48208.800000000003</v>
      </c>
    </row>
    <row r="12" spans="1:10" x14ac:dyDescent="0.2">
      <c r="A12" s="9">
        <v>7</v>
      </c>
      <c r="B12" s="128">
        <v>5130255</v>
      </c>
      <c r="C12" s="128"/>
      <c r="D12" s="128">
        <v>5133947</v>
      </c>
      <c r="E12" s="128"/>
      <c r="F12" s="12">
        <v>35226</v>
      </c>
      <c r="G12" s="169" t="s">
        <v>485</v>
      </c>
      <c r="H12" s="169"/>
      <c r="I12" s="32">
        <v>108812.88</v>
      </c>
      <c r="J12" s="32">
        <f t="shared" si="0"/>
        <v>87050.304000000004</v>
      </c>
    </row>
    <row r="13" spans="1:10" x14ac:dyDescent="0.2">
      <c r="A13" s="9">
        <v>8</v>
      </c>
      <c r="B13" s="128">
        <v>5130700</v>
      </c>
      <c r="C13" s="128"/>
      <c r="D13" s="128">
        <v>5134870</v>
      </c>
      <c r="E13" s="128"/>
      <c r="F13" s="12">
        <v>35388</v>
      </c>
      <c r="G13" s="169" t="s">
        <v>486</v>
      </c>
      <c r="H13" s="169"/>
      <c r="I13" s="32">
        <v>239234.14</v>
      </c>
      <c r="J13" s="32">
        <f t="shared" si="0"/>
        <v>191387.31200000003</v>
      </c>
    </row>
    <row r="14" spans="1:10" x14ac:dyDescent="0.2">
      <c r="A14" s="9">
        <v>9</v>
      </c>
      <c r="B14" s="128">
        <v>5130581</v>
      </c>
      <c r="C14" s="128"/>
      <c r="D14" s="128">
        <v>5134471</v>
      </c>
      <c r="E14" s="128"/>
      <c r="F14" s="12">
        <v>35226</v>
      </c>
      <c r="G14" s="169" t="s">
        <v>487</v>
      </c>
      <c r="H14" s="169"/>
      <c r="I14" s="32">
        <v>118276.38</v>
      </c>
      <c r="J14" s="32">
        <f t="shared" si="0"/>
        <v>94621.104000000007</v>
      </c>
    </row>
    <row r="15" spans="1:10" x14ac:dyDescent="0.2">
      <c r="A15" s="9">
        <v>10</v>
      </c>
      <c r="B15" s="128">
        <v>5131464</v>
      </c>
      <c r="C15" s="128"/>
      <c r="D15" s="128">
        <v>5135915</v>
      </c>
      <c r="E15" s="128"/>
      <c r="F15" s="12">
        <v>35226</v>
      </c>
      <c r="G15" s="169" t="s">
        <v>488</v>
      </c>
      <c r="H15" s="169"/>
      <c r="I15" s="32">
        <v>142055.69</v>
      </c>
      <c r="J15" s="32">
        <f t="shared" si="0"/>
        <v>113644.55200000001</v>
      </c>
    </row>
    <row r="16" spans="1:10" x14ac:dyDescent="0.2">
      <c r="A16" s="9">
        <v>11</v>
      </c>
      <c r="B16" s="128">
        <v>5131383</v>
      </c>
      <c r="C16" s="128"/>
      <c r="D16" s="128">
        <v>5135796</v>
      </c>
      <c r="E16" s="128"/>
      <c r="F16" s="12">
        <v>35226</v>
      </c>
      <c r="G16" s="169" t="s">
        <v>489</v>
      </c>
      <c r="H16" s="169"/>
      <c r="I16" s="32">
        <v>236729.38</v>
      </c>
      <c r="J16" s="32">
        <f t="shared" si="0"/>
        <v>189383.50400000002</v>
      </c>
    </row>
    <row r="17" spans="1:11" x14ac:dyDescent="0.2">
      <c r="A17" s="9">
        <v>12</v>
      </c>
      <c r="B17" s="128">
        <v>5130514</v>
      </c>
      <c r="C17" s="128"/>
      <c r="D17" s="128">
        <v>5134404</v>
      </c>
      <c r="E17" s="128"/>
      <c r="F17" s="12">
        <v>35226</v>
      </c>
      <c r="G17" s="169" t="s">
        <v>490</v>
      </c>
      <c r="H17" s="169"/>
      <c r="I17" s="32">
        <v>116841.68</v>
      </c>
      <c r="J17" s="32">
        <f t="shared" si="0"/>
        <v>93473.343999999997</v>
      </c>
    </row>
    <row r="18" spans="1:11" x14ac:dyDescent="0.2">
      <c r="A18" s="9">
        <v>13</v>
      </c>
      <c r="B18" s="128">
        <v>5133009</v>
      </c>
      <c r="C18" s="128"/>
      <c r="D18" s="128">
        <v>5138345</v>
      </c>
      <c r="E18" s="128"/>
      <c r="F18" s="12">
        <v>35226</v>
      </c>
      <c r="G18" s="169" t="s">
        <v>491</v>
      </c>
      <c r="H18" s="169"/>
      <c r="I18" s="32">
        <v>175021.54</v>
      </c>
      <c r="J18" s="32">
        <f t="shared" si="0"/>
        <v>140017.23200000002</v>
      </c>
    </row>
    <row r="19" spans="1:11" x14ac:dyDescent="0.2">
      <c r="A19" s="9">
        <v>14</v>
      </c>
      <c r="B19" s="128">
        <v>5131553</v>
      </c>
      <c r="C19" s="128"/>
      <c r="D19" s="128">
        <v>5136024</v>
      </c>
      <c r="E19" s="128"/>
      <c r="F19" s="12">
        <v>35226</v>
      </c>
      <c r="G19" s="169" t="s">
        <v>492</v>
      </c>
      <c r="H19" s="169"/>
      <c r="I19" s="32">
        <v>144597.59</v>
      </c>
      <c r="J19" s="32">
        <f t="shared" si="0"/>
        <v>115678.072</v>
      </c>
    </row>
    <row r="20" spans="1:11" x14ac:dyDescent="0.2">
      <c r="A20" s="9">
        <v>15</v>
      </c>
      <c r="B20" s="128">
        <v>5132258</v>
      </c>
      <c r="C20" s="128"/>
      <c r="D20" s="128">
        <v>5136911</v>
      </c>
      <c r="E20" s="128"/>
      <c r="F20" s="12">
        <v>35226</v>
      </c>
      <c r="G20" s="169" t="s">
        <v>493</v>
      </c>
      <c r="H20" s="169"/>
      <c r="I20" s="32">
        <v>318787.20000000001</v>
      </c>
      <c r="J20" s="32">
        <f t="shared" ref="J20:J28" si="1">I20*0.8</f>
        <v>255029.76000000001</v>
      </c>
    </row>
    <row r="21" spans="1:11" x14ac:dyDescent="0.2">
      <c r="A21" s="9">
        <v>16</v>
      </c>
      <c r="B21" s="128">
        <v>5132517</v>
      </c>
      <c r="C21" s="128"/>
      <c r="D21" s="128">
        <v>5137381</v>
      </c>
      <c r="E21" s="128"/>
      <c r="F21" s="12">
        <v>35226</v>
      </c>
      <c r="G21" s="169" t="s">
        <v>494</v>
      </c>
      <c r="H21" s="169"/>
      <c r="I21" s="32">
        <v>322001.59999999998</v>
      </c>
      <c r="J21" s="32">
        <f t="shared" si="1"/>
        <v>257601.28</v>
      </c>
    </row>
    <row r="22" spans="1:11" x14ac:dyDescent="0.2">
      <c r="A22" s="9">
        <v>17</v>
      </c>
      <c r="B22" s="128">
        <v>5132592</v>
      </c>
      <c r="C22" s="128"/>
      <c r="D22" s="128">
        <v>5137500</v>
      </c>
      <c r="E22" s="128"/>
      <c r="F22" s="12">
        <v>35388</v>
      </c>
      <c r="G22" s="169" t="s">
        <v>495</v>
      </c>
      <c r="H22" s="169"/>
      <c r="I22" s="32">
        <v>375579</v>
      </c>
      <c r="J22" s="32">
        <f t="shared" si="1"/>
        <v>300463.2</v>
      </c>
      <c r="K22" s="107"/>
    </row>
    <row r="23" spans="1:11" ht="12.75" customHeight="1" x14ac:dyDescent="0.2">
      <c r="A23" s="9">
        <v>18</v>
      </c>
      <c r="B23" s="128">
        <v>5131502</v>
      </c>
      <c r="C23" s="128"/>
      <c r="D23" s="128">
        <v>5135982</v>
      </c>
      <c r="E23" s="128"/>
      <c r="F23" s="12">
        <v>40749</v>
      </c>
      <c r="G23" s="255" t="s">
        <v>972</v>
      </c>
      <c r="H23" s="169"/>
      <c r="I23" s="32">
        <v>241884.31</v>
      </c>
      <c r="J23" s="32">
        <f t="shared" si="1"/>
        <v>193507.448</v>
      </c>
    </row>
    <row r="24" spans="1:11" ht="12.75" customHeight="1" x14ac:dyDescent="0.2">
      <c r="A24" s="9">
        <v>19</v>
      </c>
      <c r="B24" s="128">
        <v>5130468</v>
      </c>
      <c r="C24" s="128"/>
      <c r="D24" s="128">
        <v>5130476</v>
      </c>
      <c r="E24" s="128"/>
      <c r="F24" s="12">
        <v>40941</v>
      </c>
      <c r="G24" s="255"/>
      <c r="H24" s="169"/>
      <c r="I24" s="32">
        <v>317159.73</v>
      </c>
      <c r="J24" s="32">
        <f t="shared" si="1"/>
        <v>253727.78399999999</v>
      </c>
    </row>
    <row r="25" spans="1:11" ht="12.75" customHeight="1" x14ac:dyDescent="0.2">
      <c r="A25" s="9">
        <v>20</v>
      </c>
      <c r="B25" s="128">
        <v>5133084</v>
      </c>
      <c r="C25" s="128"/>
      <c r="D25" s="128"/>
      <c r="E25" s="128"/>
      <c r="F25" s="12">
        <v>41298</v>
      </c>
      <c r="G25" s="255"/>
      <c r="H25" s="169"/>
      <c r="I25" s="32">
        <v>515202.4</v>
      </c>
      <c r="J25" s="32">
        <f t="shared" si="1"/>
        <v>412161.92000000004</v>
      </c>
    </row>
    <row r="26" spans="1:11" ht="12.75" customHeight="1" x14ac:dyDescent="0.2">
      <c r="A26" s="9">
        <v>21</v>
      </c>
      <c r="B26" s="128">
        <v>5131316</v>
      </c>
      <c r="C26" s="128"/>
      <c r="D26" s="128"/>
      <c r="E26" s="128"/>
      <c r="F26" s="12">
        <v>41752</v>
      </c>
      <c r="G26" s="169"/>
      <c r="H26" s="169"/>
      <c r="I26" s="32">
        <v>361315.29</v>
      </c>
      <c r="J26" s="32">
        <f t="shared" si="1"/>
        <v>289052.23200000002</v>
      </c>
    </row>
    <row r="27" spans="1:11" ht="12.75" customHeight="1" x14ac:dyDescent="0.2">
      <c r="A27" s="9">
        <v>22</v>
      </c>
      <c r="B27" s="128">
        <v>5130247</v>
      </c>
      <c r="C27" s="128"/>
      <c r="D27" s="137" t="s">
        <v>1182</v>
      </c>
      <c r="E27" s="128"/>
      <c r="F27" s="12">
        <v>42912</v>
      </c>
      <c r="G27" s="169"/>
      <c r="H27" s="169"/>
      <c r="I27" s="32">
        <v>252117.16</v>
      </c>
      <c r="J27" s="32">
        <f t="shared" si="1"/>
        <v>201693.728</v>
      </c>
    </row>
    <row r="28" spans="1:11" ht="12.75" customHeight="1" x14ac:dyDescent="0.2">
      <c r="A28" s="9">
        <v>23</v>
      </c>
      <c r="B28" s="128">
        <v>5131944</v>
      </c>
      <c r="C28" s="128"/>
      <c r="D28" s="137" t="s">
        <v>1182</v>
      </c>
      <c r="E28" s="128"/>
      <c r="F28" s="12">
        <v>43698</v>
      </c>
      <c r="G28" s="169"/>
      <c r="H28" s="169"/>
      <c r="I28" s="32">
        <v>347536.08</v>
      </c>
      <c r="J28" s="32">
        <f t="shared" si="1"/>
        <v>278028.864</v>
      </c>
    </row>
    <row r="29" spans="1:11" ht="12.75" customHeight="1" x14ac:dyDescent="0.2">
      <c r="A29" s="9"/>
      <c r="B29" s="128"/>
      <c r="C29" s="128"/>
      <c r="D29" s="128"/>
      <c r="E29" s="128"/>
      <c r="F29" s="12"/>
      <c r="G29" s="169"/>
      <c r="H29" s="169"/>
      <c r="I29" s="32"/>
      <c r="J29" s="32"/>
    </row>
    <row r="30" spans="1:11" ht="12.75" customHeight="1" x14ac:dyDescent="0.2">
      <c r="A30" s="9"/>
      <c r="B30" s="128"/>
      <c r="C30" s="128"/>
      <c r="D30" s="128"/>
      <c r="E30" s="128"/>
      <c r="F30" s="12"/>
      <c r="G30" s="169"/>
      <c r="H30" s="169"/>
      <c r="I30" s="32"/>
      <c r="J30" s="32"/>
    </row>
    <row r="31" spans="1:11" ht="12.75" customHeight="1" x14ac:dyDescent="0.2">
      <c r="A31" s="9"/>
      <c r="B31" s="128"/>
      <c r="C31" s="128"/>
      <c r="D31" s="128"/>
      <c r="E31" s="128"/>
      <c r="F31" s="12"/>
      <c r="G31" s="169"/>
      <c r="H31" s="169"/>
      <c r="I31" s="32"/>
      <c r="J31" s="32"/>
    </row>
    <row r="32" spans="1:1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33">
        <f>SUM(I6:I31)</f>
        <v>5360319.46</v>
      </c>
      <c r="J32" s="33">
        <f>SUM(J6:J31)</f>
        <v>4288255.568</v>
      </c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31" t="s">
        <v>34</v>
      </c>
      <c r="B34" s="132"/>
      <c r="C34" s="132"/>
      <c r="D34" s="132"/>
      <c r="E34" s="132"/>
      <c r="F34" s="132"/>
      <c r="G34" s="132"/>
      <c r="H34" s="132"/>
      <c r="I34" s="132"/>
      <c r="J34" s="133"/>
    </row>
    <row r="35" spans="1:10" x14ac:dyDescent="0.2">
      <c r="A35" s="169" t="s">
        <v>23</v>
      </c>
      <c r="B35" s="169" t="s">
        <v>35</v>
      </c>
      <c r="C35" s="169"/>
      <c r="D35" s="169" t="s">
        <v>36</v>
      </c>
      <c r="E35" s="169" t="s">
        <v>37</v>
      </c>
      <c r="F35" s="169"/>
      <c r="G35" s="169" t="s">
        <v>38</v>
      </c>
      <c r="H35" s="169"/>
      <c r="I35" s="169" t="s">
        <v>39</v>
      </c>
      <c r="J35" s="169"/>
    </row>
    <row r="36" spans="1:10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x14ac:dyDescent="0.2">
      <c r="A37" s="9">
        <v>1</v>
      </c>
      <c r="B37" s="183" t="s">
        <v>271</v>
      </c>
      <c r="C37" s="128"/>
      <c r="D37" s="9">
        <v>9446</v>
      </c>
      <c r="E37" s="182">
        <v>34881</v>
      </c>
      <c r="F37" s="128"/>
      <c r="G37" s="128">
        <v>1709001</v>
      </c>
      <c r="H37" s="128"/>
      <c r="I37" s="136">
        <v>36536</v>
      </c>
      <c r="J37" s="136"/>
    </row>
    <row r="38" spans="1:10" x14ac:dyDescent="0.2">
      <c r="A38" s="9">
        <v>2</v>
      </c>
      <c r="B38" s="183" t="s">
        <v>496</v>
      </c>
      <c r="C38" s="128"/>
      <c r="D38" s="9">
        <v>10011</v>
      </c>
      <c r="E38" s="182">
        <v>35765</v>
      </c>
      <c r="F38" s="128"/>
      <c r="G38" s="128">
        <v>5105001</v>
      </c>
      <c r="H38" s="128"/>
      <c r="I38" s="136">
        <v>71484</v>
      </c>
      <c r="J38" s="136"/>
    </row>
    <row r="39" spans="1:10" x14ac:dyDescent="0.2">
      <c r="A39" s="9">
        <v>3</v>
      </c>
      <c r="B39" s="128">
        <v>463940</v>
      </c>
      <c r="C39" s="128"/>
      <c r="D39" s="9">
        <v>23883</v>
      </c>
      <c r="E39" s="182">
        <v>39406</v>
      </c>
      <c r="F39" s="128"/>
      <c r="G39" s="128" t="s">
        <v>497</v>
      </c>
      <c r="H39" s="128"/>
      <c r="I39" s="136">
        <v>3666.5</v>
      </c>
      <c r="J39" s="136"/>
    </row>
    <row r="40" spans="1:10" x14ac:dyDescent="0.2">
      <c r="A40" s="9">
        <v>5</v>
      </c>
      <c r="B40" s="128">
        <v>466075</v>
      </c>
      <c r="C40" s="128"/>
      <c r="D40" s="9">
        <v>81143</v>
      </c>
      <c r="E40" s="182">
        <v>40627</v>
      </c>
      <c r="F40" s="128"/>
      <c r="G40" s="227" t="s">
        <v>857</v>
      </c>
      <c r="H40" s="228"/>
      <c r="I40" s="136">
        <v>216721.88</v>
      </c>
      <c r="J40" s="136"/>
    </row>
    <row r="41" spans="1:10" x14ac:dyDescent="0.2">
      <c r="A41" s="19">
        <v>6</v>
      </c>
      <c r="B41" s="137">
        <v>466637</v>
      </c>
      <c r="C41" s="137"/>
      <c r="D41" s="19">
        <v>84805</v>
      </c>
      <c r="E41" s="196">
        <v>41870</v>
      </c>
      <c r="F41" s="137"/>
      <c r="G41" s="164" t="s">
        <v>952</v>
      </c>
      <c r="H41" s="228"/>
      <c r="I41" s="138">
        <v>46348.21</v>
      </c>
      <c r="J41" s="138"/>
    </row>
    <row r="42" spans="1:10" x14ac:dyDescent="0.2">
      <c r="A42" s="19">
        <v>7</v>
      </c>
      <c r="B42" s="137"/>
      <c r="C42" s="137"/>
      <c r="D42" s="19">
        <v>81142</v>
      </c>
      <c r="E42" s="196">
        <v>43192</v>
      </c>
      <c r="F42" s="137"/>
      <c r="G42" s="137" t="s">
        <v>498</v>
      </c>
      <c r="H42" s="137"/>
      <c r="I42" s="138">
        <v>528618.78</v>
      </c>
      <c r="J42" s="138"/>
    </row>
    <row r="43" spans="1:10" x14ac:dyDescent="0.2">
      <c r="A43" s="19">
        <v>8</v>
      </c>
      <c r="B43" s="137"/>
      <c r="C43" s="137"/>
      <c r="D43" s="19">
        <v>87780</v>
      </c>
      <c r="E43" s="196">
        <v>41786</v>
      </c>
      <c r="F43" s="137"/>
      <c r="G43" s="137" t="s">
        <v>499</v>
      </c>
      <c r="H43" s="137"/>
      <c r="I43" s="138">
        <v>127801.78</v>
      </c>
      <c r="J43" s="138"/>
    </row>
    <row r="44" spans="1:10" x14ac:dyDescent="0.2">
      <c r="A44" s="19"/>
      <c r="B44" s="137"/>
      <c r="C44" s="137"/>
      <c r="D44" s="19">
        <v>87270</v>
      </c>
      <c r="E44" s="137" t="s">
        <v>864</v>
      </c>
      <c r="F44" s="137"/>
      <c r="G44" s="137"/>
      <c r="H44" s="137"/>
      <c r="I44" s="138">
        <v>6625</v>
      </c>
      <c r="J44" s="138"/>
    </row>
    <row r="45" spans="1:10" x14ac:dyDescent="0.2">
      <c r="A45" s="19"/>
      <c r="B45" s="137"/>
      <c r="C45" s="137"/>
      <c r="D45" s="19">
        <v>88870</v>
      </c>
      <c r="E45" s="137" t="s">
        <v>912</v>
      </c>
      <c r="F45" s="137"/>
      <c r="G45" s="137"/>
      <c r="H45" s="137"/>
      <c r="I45" s="138">
        <v>2275.4</v>
      </c>
      <c r="J45" s="138"/>
    </row>
    <row r="46" spans="1:10" x14ac:dyDescent="0.2">
      <c r="A46" s="19"/>
      <c r="B46" s="137"/>
      <c r="C46" s="137"/>
      <c r="D46" s="19">
        <v>90189</v>
      </c>
      <c r="E46" s="137" t="s">
        <v>939</v>
      </c>
      <c r="F46" s="137"/>
      <c r="G46" s="137"/>
      <c r="H46" s="137"/>
      <c r="I46" s="138">
        <v>4885.2</v>
      </c>
      <c r="J46" s="138"/>
    </row>
    <row r="47" spans="1:10" x14ac:dyDescent="0.2">
      <c r="A47" s="82"/>
      <c r="B47" s="198"/>
      <c r="C47" s="198"/>
      <c r="D47" s="82">
        <v>109314</v>
      </c>
      <c r="E47" s="198"/>
      <c r="F47" s="198"/>
      <c r="G47" s="198" t="s">
        <v>1296</v>
      </c>
      <c r="H47" s="198"/>
      <c r="I47" s="199">
        <v>95700</v>
      </c>
      <c r="J47" s="199"/>
    </row>
    <row r="48" spans="1:10" x14ac:dyDescent="0.2">
      <c r="A48" s="82"/>
      <c r="B48" s="198"/>
      <c r="C48" s="198"/>
      <c r="D48" s="82"/>
      <c r="E48" s="198"/>
      <c r="F48" s="198"/>
      <c r="G48" s="198"/>
      <c r="H48" s="198"/>
      <c r="I48" s="199"/>
      <c r="J48" s="199"/>
    </row>
    <row r="49" spans="1:11" x14ac:dyDescent="0.2">
      <c r="A49" s="58"/>
      <c r="B49" s="151"/>
      <c r="C49" s="151"/>
      <c r="D49" s="58"/>
      <c r="E49" s="151"/>
      <c r="F49" s="151"/>
      <c r="G49" s="151"/>
      <c r="H49" s="151"/>
      <c r="I49" s="152"/>
      <c r="J49" s="152"/>
    </row>
    <row r="50" spans="1:11" ht="13.5" thickBot="1" x14ac:dyDescent="0.25">
      <c r="A50" s="9"/>
      <c r="B50" s="128"/>
      <c r="C50" s="128"/>
      <c r="D50" s="9"/>
      <c r="E50" s="128"/>
      <c r="F50" s="128"/>
      <c r="G50" s="128"/>
      <c r="H50" s="128"/>
      <c r="I50" s="249"/>
      <c r="J50" s="249"/>
    </row>
    <row r="51" spans="1:11" ht="13.5" thickTop="1" x14ac:dyDescent="0.2">
      <c r="A51" s="13"/>
      <c r="B51" s="13"/>
      <c r="C51" s="13"/>
      <c r="D51" s="13"/>
      <c r="E51" s="13"/>
      <c r="F51" s="13"/>
      <c r="G51" s="13"/>
      <c r="H51" s="13" t="s">
        <v>33</v>
      </c>
      <c r="I51" s="140">
        <f>SUM(I37:J50)</f>
        <v>1140662.75</v>
      </c>
      <c r="J51" s="140"/>
    </row>
    <row r="52" spans="1:1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1" ht="15" x14ac:dyDescent="0.25">
      <c r="A53" s="15" t="s">
        <v>46</v>
      </c>
      <c r="B53" s="16"/>
      <c r="C53" s="16"/>
      <c r="D53" s="16"/>
      <c r="E53" s="16"/>
      <c r="F53" s="16"/>
      <c r="G53" s="16"/>
      <c r="H53" s="16"/>
      <c r="I53" s="149" t="s">
        <v>47</v>
      </c>
      <c r="J53" s="150"/>
    </row>
    <row r="54" spans="1:11" x14ac:dyDescent="0.2">
      <c r="A54" s="144" t="s">
        <v>48</v>
      </c>
      <c r="B54" s="144"/>
      <c r="C54" s="144"/>
      <c r="D54" s="144"/>
      <c r="E54" s="144"/>
      <c r="F54" s="144"/>
      <c r="G54" s="144"/>
      <c r="H54" s="144"/>
      <c r="I54" s="148">
        <f>I32*80%</f>
        <v>4288255.568</v>
      </c>
      <c r="J54" s="148"/>
    </row>
    <row r="55" spans="1:11" x14ac:dyDescent="0.2">
      <c r="A55" s="144" t="s">
        <v>49</v>
      </c>
      <c r="B55" s="144"/>
      <c r="C55" s="144"/>
      <c r="D55" s="144"/>
      <c r="E55" s="144"/>
      <c r="F55" s="144"/>
      <c r="G55" s="144"/>
      <c r="H55" s="144"/>
      <c r="I55" s="148">
        <v>-711994</v>
      </c>
      <c r="J55" s="148"/>
      <c r="K55" s="107"/>
    </row>
    <row r="56" spans="1:11" x14ac:dyDescent="0.2">
      <c r="A56" s="185" t="s">
        <v>811</v>
      </c>
      <c r="B56" s="142"/>
      <c r="C56" s="142"/>
      <c r="D56" s="142"/>
      <c r="E56" s="142"/>
      <c r="F56" s="142"/>
      <c r="G56" s="142"/>
      <c r="H56" s="143"/>
      <c r="I56" s="325">
        <v>-400000</v>
      </c>
      <c r="J56" s="326"/>
    </row>
    <row r="57" spans="1:11" x14ac:dyDescent="0.2">
      <c r="A57" s="35" t="s">
        <v>895</v>
      </c>
      <c r="B57" s="37"/>
      <c r="C57" s="37"/>
      <c r="D57" s="37"/>
      <c r="E57" s="37"/>
      <c r="F57" s="37"/>
      <c r="G57" s="37"/>
      <c r="H57" s="36"/>
      <c r="I57" s="325">
        <v>228870</v>
      </c>
      <c r="J57" s="326"/>
    </row>
    <row r="58" spans="1:11" x14ac:dyDescent="0.2">
      <c r="A58" s="35" t="s">
        <v>2</v>
      </c>
      <c r="B58" s="37"/>
      <c r="C58" s="37"/>
      <c r="D58" s="37"/>
      <c r="E58" s="37"/>
      <c r="F58" s="37"/>
      <c r="G58" s="37"/>
      <c r="H58" s="36"/>
      <c r="I58" s="325">
        <v>-125000</v>
      </c>
      <c r="J58" s="326"/>
    </row>
    <row r="59" spans="1:11" x14ac:dyDescent="0.2">
      <c r="A59" s="35" t="s">
        <v>853</v>
      </c>
      <c r="B59" s="37"/>
      <c r="C59" s="37"/>
      <c r="D59" s="37"/>
      <c r="E59" s="37"/>
      <c r="F59" s="37"/>
      <c r="G59" s="37"/>
      <c r="H59" s="36"/>
      <c r="I59" s="325">
        <v>125000</v>
      </c>
      <c r="J59" s="326"/>
    </row>
    <row r="60" spans="1:11" x14ac:dyDescent="0.2">
      <c r="A60" s="185" t="s">
        <v>837</v>
      </c>
      <c r="B60" s="142"/>
      <c r="C60" s="142"/>
      <c r="D60" s="142"/>
      <c r="E60" s="142"/>
      <c r="F60" s="142"/>
      <c r="G60" s="142"/>
      <c r="H60" s="143"/>
      <c r="I60" s="325">
        <v>-300000</v>
      </c>
      <c r="J60" s="326"/>
    </row>
    <row r="61" spans="1:11" x14ac:dyDescent="0.2">
      <c r="A61" s="185" t="s">
        <v>835</v>
      </c>
      <c r="B61" s="142"/>
      <c r="C61" s="142"/>
      <c r="D61" s="142"/>
      <c r="E61" s="142"/>
      <c r="F61" s="142"/>
      <c r="G61" s="142"/>
      <c r="H61" s="143"/>
      <c r="I61" s="325">
        <v>-500000</v>
      </c>
      <c r="J61" s="326"/>
    </row>
    <row r="62" spans="1:11" x14ac:dyDescent="0.2">
      <c r="A62" s="186" t="s">
        <v>973</v>
      </c>
      <c r="B62" s="142"/>
      <c r="C62" s="142"/>
      <c r="D62" s="142"/>
      <c r="E62" s="142"/>
      <c r="F62" s="142"/>
      <c r="G62" s="142"/>
      <c r="H62" s="143"/>
      <c r="I62" s="325">
        <v>-96753.73</v>
      </c>
      <c r="J62" s="326"/>
    </row>
    <row r="63" spans="1:11" x14ac:dyDescent="0.2">
      <c r="A63" s="186" t="s">
        <v>1000</v>
      </c>
      <c r="B63" s="142"/>
      <c r="C63" s="142"/>
      <c r="D63" s="142"/>
      <c r="E63" s="142"/>
      <c r="F63" s="142"/>
      <c r="G63" s="142"/>
      <c r="H63" s="143"/>
      <c r="I63" s="325">
        <v>-150000</v>
      </c>
      <c r="J63" s="326"/>
    </row>
    <row r="64" spans="1:11" x14ac:dyDescent="0.2">
      <c r="A64" s="186" t="s">
        <v>1058</v>
      </c>
      <c r="B64" s="142"/>
      <c r="C64" s="142"/>
      <c r="D64" s="142"/>
      <c r="E64" s="142"/>
      <c r="F64" s="142"/>
      <c r="G64" s="142"/>
      <c r="H64" s="143"/>
      <c r="I64" s="325">
        <v>-300000</v>
      </c>
      <c r="J64" s="326"/>
    </row>
    <row r="65" spans="1:10" x14ac:dyDescent="0.2">
      <c r="A65" s="141" t="s">
        <v>1066</v>
      </c>
      <c r="B65" s="142"/>
      <c r="C65" s="142"/>
      <c r="D65" s="142"/>
      <c r="E65" s="142"/>
      <c r="F65" s="142"/>
      <c r="G65" s="142"/>
      <c r="H65" s="143"/>
      <c r="I65" s="325">
        <v>-250000</v>
      </c>
      <c r="J65" s="326"/>
    </row>
    <row r="66" spans="1:10" x14ac:dyDescent="0.2">
      <c r="A66" s="134" t="s">
        <v>1241</v>
      </c>
      <c r="B66" s="134"/>
      <c r="C66" s="134"/>
      <c r="D66" s="134"/>
      <c r="E66" s="134"/>
      <c r="F66" s="134"/>
      <c r="G66" s="134"/>
      <c r="H66" s="134"/>
      <c r="I66" s="325">
        <v>-65205.3</v>
      </c>
      <c r="J66" s="326"/>
    </row>
    <row r="67" spans="1:10" x14ac:dyDescent="0.2">
      <c r="A67" s="134" t="s">
        <v>1447</v>
      </c>
      <c r="B67" s="134"/>
      <c r="C67" s="134"/>
      <c r="D67" s="134"/>
      <c r="E67" s="134"/>
      <c r="F67" s="134"/>
      <c r="G67" s="134"/>
      <c r="H67" s="134"/>
      <c r="I67" s="325">
        <v>-101238</v>
      </c>
      <c r="J67" s="326"/>
    </row>
    <row r="68" spans="1:10" x14ac:dyDescent="0.2">
      <c r="A68" s="144" t="s">
        <v>1569</v>
      </c>
      <c r="B68" s="144"/>
      <c r="C68" s="144"/>
      <c r="D68" s="144"/>
      <c r="E68" s="144"/>
      <c r="F68" s="144"/>
      <c r="G68" s="144"/>
      <c r="H68" s="144"/>
      <c r="I68" s="325">
        <v>47809.98</v>
      </c>
      <c r="J68" s="326"/>
    </row>
    <row r="69" spans="1:10" x14ac:dyDescent="0.2">
      <c r="A69" s="134"/>
      <c r="B69" s="134"/>
      <c r="C69" s="134"/>
      <c r="D69" s="134"/>
      <c r="E69" s="134"/>
      <c r="F69" s="134"/>
      <c r="G69" s="134"/>
      <c r="H69" s="134"/>
      <c r="I69" s="325"/>
      <c r="J69" s="326"/>
    </row>
    <row r="70" spans="1:10" ht="13.5" thickBot="1" x14ac:dyDescent="0.25">
      <c r="A70" s="144" t="s">
        <v>50</v>
      </c>
      <c r="B70" s="144"/>
      <c r="C70" s="144"/>
      <c r="D70" s="144"/>
      <c r="E70" s="144"/>
      <c r="F70" s="144"/>
      <c r="G70" s="144"/>
      <c r="H70" s="144"/>
      <c r="I70" s="145">
        <f>I51</f>
        <v>1140662.75</v>
      </c>
      <c r="J70" s="145"/>
    </row>
    <row r="71" spans="1:10" ht="13.5" thickTop="1" x14ac:dyDescent="0.2">
      <c r="H71" s="18" t="s">
        <v>33</v>
      </c>
      <c r="I71" s="316">
        <f>I54+I55+I56+I57+I58+I59+I60+I61+I62+I63+I64+I65+I66+I67+I68-I70</f>
        <v>549081.76799999992</v>
      </c>
      <c r="J71" s="317"/>
    </row>
    <row r="73" spans="1:10" ht="15" x14ac:dyDescent="0.25">
      <c r="A73" s="131" t="s">
        <v>51</v>
      </c>
      <c r="B73" s="132"/>
      <c r="C73" s="132"/>
      <c r="D73" s="132"/>
      <c r="E73" s="132"/>
      <c r="F73" s="132"/>
      <c r="G73" s="132"/>
      <c r="H73" s="132"/>
      <c r="I73" s="132"/>
      <c r="J73" s="133"/>
    </row>
    <row r="74" spans="1:10" ht="12.75" customHeight="1" x14ac:dyDescent="0.2">
      <c r="A74" s="328" t="s">
        <v>0</v>
      </c>
      <c r="B74" s="328"/>
      <c r="C74" s="328"/>
      <c r="D74" s="328"/>
      <c r="E74" s="328"/>
      <c r="F74" s="328"/>
      <c r="G74" s="328"/>
      <c r="H74" s="328"/>
      <c r="I74" s="328"/>
      <c r="J74" s="328"/>
    </row>
    <row r="75" spans="1:10" x14ac:dyDescent="0.2">
      <c r="A75" s="329"/>
      <c r="B75" s="329"/>
      <c r="C75" s="329"/>
      <c r="D75" s="329"/>
      <c r="E75" s="329"/>
      <c r="F75" s="329"/>
      <c r="G75" s="329"/>
      <c r="H75" s="329"/>
      <c r="I75" s="329"/>
      <c r="J75" s="329"/>
    </row>
    <row r="76" spans="1:10" x14ac:dyDescent="0.2">
      <c r="A76" s="329"/>
      <c r="B76" s="329"/>
      <c r="C76" s="329"/>
      <c r="D76" s="329"/>
      <c r="E76" s="329"/>
      <c r="F76" s="329"/>
      <c r="G76" s="329"/>
      <c r="H76" s="329"/>
      <c r="I76" s="329"/>
      <c r="J76" s="329"/>
    </row>
    <row r="77" spans="1:10" x14ac:dyDescent="0.2">
      <c r="A77" s="329"/>
      <c r="B77" s="329"/>
      <c r="C77" s="329"/>
      <c r="D77" s="329"/>
      <c r="E77" s="329"/>
      <c r="F77" s="329"/>
      <c r="G77" s="329"/>
      <c r="H77" s="329"/>
      <c r="I77" s="329"/>
      <c r="J77" s="329"/>
    </row>
    <row r="78" spans="1:10" x14ac:dyDescent="0.2">
      <c r="A78" s="329"/>
      <c r="B78" s="329"/>
      <c r="C78" s="329"/>
      <c r="D78" s="329"/>
      <c r="E78" s="329"/>
      <c r="F78" s="329"/>
      <c r="G78" s="329"/>
      <c r="H78" s="329"/>
      <c r="I78" s="329"/>
      <c r="J78" s="329"/>
    </row>
    <row r="79" spans="1:10" ht="45.75" customHeight="1" x14ac:dyDescent="0.2">
      <c r="A79" s="329"/>
      <c r="B79" s="329"/>
      <c r="C79" s="329"/>
      <c r="D79" s="329"/>
      <c r="E79" s="329"/>
      <c r="F79" s="329"/>
      <c r="G79" s="329"/>
      <c r="H79" s="329"/>
      <c r="I79" s="329"/>
      <c r="J79" s="329"/>
    </row>
    <row r="80" spans="1:10" hidden="1" x14ac:dyDescent="0.2">
      <c r="A80" s="329"/>
      <c r="B80" s="329"/>
      <c r="C80" s="329"/>
      <c r="D80" s="329"/>
      <c r="E80" s="329"/>
      <c r="F80" s="329"/>
      <c r="G80" s="329"/>
      <c r="H80" s="329"/>
      <c r="I80" s="329"/>
      <c r="J80" s="329"/>
    </row>
    <row r="81" spans="1:10" hidden="1" x14ac:dyDescent="0.2">
      <c r="A81" s="329"/>
      <c r="B81" s="329"/>
      <c r="C81" s="329"/>
      <c r="D81" s="329"/>
      <c r="E81" s="329"/>
      <c r="F81" s="329"/>
      <c r="G81" s="329"/>
      <c r="H81" s="329"/>
      <c r="I81" s="329"/>
      <c r="J81" s="329"/>
    </row>
    <row r="82" spans="1:10" hidden="1" x14ac:dyDescent="0.2">
      <c r="A82" s="329"/>
      <c r="B82" s="329"/>
      <c r="C82" s="329"/>
      <c r="D82" s="329"/>
      <c r="E82" s="329"/>
      <c r="F82" s="329"/>
      <c r="G82" s="329"/>
      <c r="H82" s="329"/>
      <c r="I82" s="329"/>
      <c r="J82" s="329"/>
    </row>
    <row r="83" spans="1:10" hidden="1" x14ac:dyDescent="0.2">
      <c r="A83" s="329"/>
      <c r="B83" s="329"/>
      <c r="C83" s="329"/>
      <c r="D83" s="329"/>
      <c r="E83" s="329"/>
      <c r="F83" s="329"/>
      <c r="G83" s="329"/>
      <c r="H83" s="329"/>
      <c r="I83" s="329"/>
      <c r="J83" s="329"/>
    </row>
    <row r="84" spans="1:10" ht="129.75" customHeight="1" x14ac:dyDescent="0.2">
      <c r="A84" s="327" t="s">
        <v>1</v>
      </c>
      <c r="B84" s="327"/>
      <c r="C84" s="327"/>
      <c r="D84" s="327"/>
      <c r="E84" s="327"/>
      <c r="F84" s="327"/>
      <c r="G84" s="327"/>
      <c r="H84" s="327"/>
      <c r="I84" s="327"/>
      <c r="J84" s="327"/>
    </row>
  </sheetData>
  <mergeCells count="187">
    <mergeCell ref="B47:C47"/>
    <mergeCell ref="E47:F47"/>
    <mergeCell ref="G47:H47"/>
    <mergeCell ref="I47:J47"/>
    <mergeCell ref="I44:J44"/>
    <mergeCell ref="B41:C41"/>
    <mergeCell ref="I41:J41"/>
    <mergeCell ref="B42:C42"/>
    <mergeCell ref="E43:F43"/>
    <mergeCell ref="I43:J43"/>
    <mergeCell ref="G43:H43"/>
    <mergeCell ref="I42:J42"/>
    <mergeCell ref="I45:J45"/>
    <mergeCell ref="E46:F46"/>
    <mergeCell ref="G42:H42"/>
    <mergeCell ref="G44:H44"/>
    <mergeCell ref="G46:H46"/>
    <mergeCell ref="G45:H45"/>
    <mergeCell ref="D12:E12"/>
    <mergeCell ref="G12:H12"/>
    <mergeCell ref="B46:C46"/>
    <mergeCell ref="I35:J36"/>
    <mergeCell ref="I37:J37"/>
    <mergeCell ref="E40:F40"/>
    <mergeCell ref="I39:J39"/>
    <mergeCell ref="I40:J40"/>
    <mergeCell ref="G41:H41"/>
    <mergeCell ref="E35:F36"/>
    <mergeCell ref="I38:J38"/>
    <mergeCell ref="B39:C39"/>
    <mergeCell ref="E39:F39"/>
    <mergeCell ref="G39:H39"/>
    <mergeCell ref="B44:C44"/>
    <mergeCell ref="G13:H13"/>
    <mergeCell ref="B13:C13"/>
    <mergeCell ref="D13:E13"/>
    <mergeCell ref="B12:C12"/>
    <mergeCell ref="G17:H17"/>
    <mergeCell ref="B16:C16"/>
    <mergeCell ref="D16:E16"/>
    <mergeCell ref="G16:H16"/>
    <mergeCell ref="B14:C14"/>
    <mergeCell ref="A73:J73"/>
    <mergeCell ref="E50:F50"/>
    <mergeCell ref="G50:H50"/>
    <mergeCell ref="I50:J50"/>
    <mergeCell ref="I46:J46"/>
    <mergeCell ref="B15:C15"/>
    <mergeCell ref="D15:E15"/>
    <mergeCell ref="G15:H15"/>
    <mergeCell ref="D23:E23"/>
    <mergeCell ref="G23:H23"/>
    <mergeCell ref="A60:H60"/>
    <mergeCell ref="A67:H67"/>
    <mergeCell ref="I67:J67"/>
    <mergeCell ref="B48:C48"/>
    <mergeCell ref="E48:F48"/>
    <mergeCell ref="G48:H48"/>
    <mergeCell ref="B17:C17"/>
    <mergeCell ref="D17:E17"/>
    <mergeCell ref="B20:C20"/>
    <mergeCell ref="D20:E20"/>
    <mergeCell ref="G20:H20"/>
    <mergeCell ref="B19:C19"/>
    <mergeCell ref="D19:E19"/>
    <mergeCell ref="D21:E21"/>
    <mergeCell ref="D14:E14"/>
    <mergeCell ref="G14:H14"/>
    <mergeCell ref="B18:C18"/>
    <mergeCell ref="D18:E18"/>
    <mergeCell ref="G18:H18"/>
    <mergeCell ref="A84:J84"/>
    <mergeCell ref="A74:J83"/>
    <mergeCell ref="A56:H56"/>
    <mergeCell ref="I56:J56"/>
    <mergeCell ref="I71:J71"/>
    <mergeCell ref="I61:J61"/>
    <mergeCell ref="I51:J51"/>
    <mergeCell ref="B50:C50"/>
    <mergeCell ref="I60:J60"/>
    <mergeCell ref="A54:H54"/>
    <mergeCell ref="I59:J59"/>
    <mergeCell ref="I55:J55"/>
    <mergeCell ref="A55:H55"/>
    <mergeCell ref="A70:H70"/>
    <mergeCell ref="I70:J70"/>
    <mergeCell ref="I57:J57"/>
    <mergeCell ref="I58:J58"/>
    <mergeCell ref="G19:H19"/>
    <mergeCell ref="B21:C21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B7:C7"/>
    <mergeCell ref="D7:E7"/>
    <mergeCell ref="G6:H6"/>
    <mergeCell ref="D8:E8"/>
    <mergeCell ref="G8:H8"/>
    <mergeCell ref="G7:H7"/>
    <mergeCell ref="B11:C11"/>
    <mergeCell ref="D11:E11"/>
    <mergeCell ref="G11:H11"/>
    <mergeCell ref="D10:E10"/>
    <mergeCell ref="B8:C8"/>
    <mergeCell ref="G10:H10"/>
    <mergeCell ref="B9:C9"/>
    <mergeCell ref="D9:E9"/>
    <mergeCell ref="G9:H9"/>
    <mergeCell ref="B10:C10"/>
    <mergeCell ref="G21:H21"/>
    <mergeCell ref="B24:C24"/>
    <mergeCell ref="D24:E24"/>
    <mergeCell ref="G24:H24"/>
    <mergeCell ref="B22:C22"/>
    <mergeCell ref="D22:E22"/>
    <mergeCell ref="G22:H22"/>
    <mergeCell ref="B23:C23"/>
    <mergeCell ref="A35:A36"/>
    <mergeCell ref="B35:C36"/>
    <mergeCell ref="D35:D36"/>
    <mergeCell ref="B30:C30"/>
    <mergeCell ref="D30:E30"/>
    <mergeCell ref="G30:H30"/>
    <mergeCell ref="B31:C31"/>
    <mergeCell ref="D31:E31"/>
    <mergeCell ref="G31:H31"/>
    <mergeCell ref="G35:H36"/>
    <mergeCell ref="D25:E25"/>
    <mergeCell ref="B25:C25"/>
    <mergeCell ref="G26:H26"/>
    <mergeCell ref="A34:J34"/>
    <mergeCell ref="G25:H25"/>
    <mergeCell ref="B27:C27"/>
    <mergeCell ref="D27:E27"/>
    <mergeCell ref="B26:C26"/>
    <mergeCell ref="D26:E26"/>
    <mergeCell ref="G27:H27"/>
    <mergeCell ref="E38:F38"/>
    <mergeCell ref="G38:H38"/>
    <mergeCell ref="G40:H40"/>
    <mergeCell ref="B45:C45"/>
    <mergeCell ref="E44:F44"/>
    <mergeCell ref="E45:F45"/>
    <mergeCell ref="B28:C28"/>
    <mergeCell ref="D28:E28"/>
    <mergeCell ref="G28:H28"/>
    <mergeCell ref="G29:H29"/>
    <mergeCell ref="B37:C37"/>
    <mergeCell ref="B43:C43"/>
    <mergeCell ref="E42:F42"/>
    <mergeCell ref="G37:H37"/>
    <mergeCell ref="E37:F37"/>
    <mergeCell ref="B38:C38"/>
    <mergeCell ref="E41:F41"/>
    <mergeCell ref="B29:C29"/>
    <mergeCell ref="D29:E29"/>
    <mergeCell ref="B40:C40"/>
    <mergeCell ref="A68:H68"/>
    <mergeCell ref="I68:J68"/>
    <mergeCell ref="A69:H69"/>
    <mergeCell ref="I69:J69"/>
    <mergeCell ref="I48:J48"/>
    <mergeCell ref="A64:H64"/>
    <mergeCell ref="I64:J64"/>
    <mergeCell ref="A62:H62"/>
    <mergeCell ref="I62:J62"/>
    <mergeCell ref="I53:J53"/>
    <mergeCell ref="I54:J54"/>
    <mergeCell ref="A66:H66"/>
    <mergeCell ref="I66:J66"/>
    <mergeCell ref="A61:H61"/>
    <mergeCell ref="B49:C49"/>
    <mergeCell ref="E49:F49"/>
    <mergeCell ref="G49:H49"/>
    <mergeCell ref="A65:H65"/>
    <mergeCell ref="I65:J65"/>
    <mergeCell ref="A63:H63"/>
    <mergeCell ref="I63:J63"/>
    <mergeCell ref="I49:J49"/>
  </mergeCells>
  <phoneticPr fontId="6" type="noConversion"/>
  <pageMargins left="0.75" right="0.75" top="1" bottom="1" header="0.5" footer="0.5"/>
  <pageSetup scale="5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34">
    <pageSetUpPr fitToPage="1"/>
  </sheetPr>
  <dimension ref="A1:J44"/>
  <sheetViews>
    <sheetView workbookViewId="0">
      <selection activeCell="K26" sqref="K26"/>
    </sheetView>
  </sheetViews>
  <sheetFormatPr defaultRowHeight="12.75" x14ac:dyDescent="0.2"/>
  <cols>
    <col min="6" max="6" width="11.28515625" customWidth="1"/>
    <col min="9" max="9" width="12.7109375" bestFit="1" customWidth="1"/>
    <col min="10" max="10" width="11.5703125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867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69" t="s">
        <v>834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5233658</v>
      </c>
      <c r="C6" s="128"/>
      <c r="D6" s="128" t="s">
        <v>814</v>
      </c>
      <c r="E6" s="128"/>
      <c r="F6" s="12">
        <v>40557</v>
      </c>
      <c r="G6" s="169"/>
      <c r="H6" s="169"/>
      <c r="I6" s="32">
        <v>393602.93</v>
      </c>
      <c r="J6" s="32">
        <f>I6*0.8</f>
        <v>314882.34400000004</v>
      </c>
    </row>
    <row r="7" spans="1:10" x14ac:dyDescent="0.2">
      <c r="A7" s="9">
        <v>2</v>
      </c>
      <c r="B7" s="128">
        <v>5233445</v>
      </c>
      <c r="C7" s="128"/>
      <c r="D7" s="230" t="s">
        <v>1151</v>
      </c>
      <c r="E7" s="128"/>
      <c r="F7" s="12">
        <v>42100</v>
      </c>
      <c r="G7" s="169"/>
      <c r="H7" s="169"/>
      <c r="I7" s="32">
        <v>415432.53</v>
      </c>
      <c r="J7" s="32">
        <f>I7*0.8</f>
        <v>332346.02400000003</v>
      </c>
    </row>
    <row r="8" spans="1:10" x14ac:dyDescent="0.2">
      <c r="A8" s="9">
        <v>3</v>
      </c>
      <c r="B8" s="128">
        <v>5234271</v>
      </c>
      <c r="C8" s="128"/>
      <c r="D8" s="128">
        <v>5234272</v>
      </c>
      <c r="E8" s="128"/>
      <c r="F8" s="12">
        <v>43972</v>
      </c>
      <c r="G8" s="169"/>
      <c r="H8" s="169"/>
      <c r="I8" s="32">
        <v>435481.58</v>
      </c>
      <c r="J8" s="32">
        <f>I8*0.8</f>
        <v>348385.26400000002</v>
      </c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1244517.04</v>
      </c>
      <c r="J14" s="33">
        <f>SUM(J6:J13)</f>
        <v>995613.63199999998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9"/>
      <c r="B19" s="137"/>
      <c r="C19" s="137"/>
      <c r="D19" s="19">
        <v>87270</v>
      </c>
      <c r="E19" s="137"/>
      <c r="F19" s="137"/>
      <c r="G19" s="137" t="s">
        <v>864</v>
      </c>
      <c r="H19" s="137"/>
      <c r="I19" s="138">
        <v>11485.2</v>
      </c>
      <c r="J19" s="138"/>
    </row>
    <row r="20" spans="1:10" x14ac:dyDescent="0.2">
      <c r="A20" s="19"/>
      <c r="B20" s="137"/>
      <c r="C20" s="137"/>
      <c r="D20" s="19">
        <v>88870</v>
      </c>
      <c r="E20" s="137"/>
      <c r="F20" s="137"/>
      <c r="G20" s="137" t="s">
        <v>1587</v>
      </c>
      <c r="H20" s="137"/>
      <c r="I20" s="138">
        <v>7859.8</v>
      </c>
      <c r="J20" s="138"/>
    </row>
    <row r="21" spans="1:10" x14ac:dyDescent="0.2">
      <c r="A21" s="19"/>
      <c r="B21" s="137"/>
      <c r="C21" s="137"/>
      <c r="D21" s="19">
        <v>85055</v>
      </c>
      <c r="E21" s="137"/>
      <c r="F21" s="137"/>
      <c r="G21" s="137" t="s">
        <v>1588</v>
      </c>
      <c r="H21" s="137"/>
      <c r="I21" s="138">
        <v>150542.94</v>
      </c>
      <c r="J21" s="138"/>
    </row>
    <row r="22" spans="1:10" x14ac:dyDescent="0.2">
      <c r="A22" s="19"/>
      <c r="B22" s="137"/>
      <c r="C22" s="137"/>
      <c r="D22" s="19">
        <v>104080</v>
      </c>
      <c r="E22" s="196">
        <v>43882</v>
      </c>
      <c r="F22" s="137"/>
      <c r="G22" s="137" t="s">
        <v>1589</v>
      </c>
      <c r="H22" s="137"/>
      <c r="I22" s="138">
        <v>63328.3</v>
      </c>
      <c r="J22" s="138"/>
    </row>
    <row r="23" spans="1:10" x14ac:dyDescent="0.2">
      <c r="A23" s="19"/>
      <c r="B23" s="137"/>
      <c r="C23" s="137"/>
      <c r="D23" s="19">
        <v>107034</v>
      </c>
      <c r="E23" s="137"/>
      <c r="F23" s="137"/>
      <c r="G23" s="137" t="s">
        <v>1590</v>
      </c>
      <c r="H23" s="137"/>
      <c r="I23" s="138">
        <v>75065.67</v>
      </c>
      <c r="J23" s="138"/>
    </row>
    <row r="24" spans="1:10" x14ac:dyDescent="0.2">
      <c r="A24" s="9"/>
      <c r="B24" s="128"/>
      <c r="C24" s="128"/>
      <c r="D24" s="9">
        <v>111873</v>
      </c>
      <c r="E24" s="128"/>
      <c r="F24" s="128"/>
      <c r="G24" s="128" t="s">
        <v>1591</v>
      </c>
      <c r="H24" s="128"/>
      <c r="I24" s="136">
        <v>190796.24</v>
      </c>
      <c r="J24" s="136"/>
    </row>
    <row r="25" spans="1:10" x14ac:dyDescent="0.2">
      <c r="A25" s="82"/>
      <c r="B25" s="198"/>
      <c r="C25" s="198"/>
      <c r="D25" s="82"/>
      <c r="E25" s="198"/>
      <c r="F25" s="198"/>
      <c r="G25" s="198" t="s">
        <v>1600</v>
      </c>
      <c r="H25" s="198"/>
      <c r="I25" s="199">
        <v>126900</v>
      </c>
      <c r="J25" s="199"/>
    </row>
    <row r="26" spans="1:10" x14ac:dyDescent="0.2">
      <c r="A26" s="9"/>
      <c r="B26" s="128"/>
      <c r="C26" s="128"/>
      <c r="D26" s="9"/>
      <c r="E26" s="128"/>
      <c r="F26" s="128"/>
      <c r="G26" s="128" t="s">
        <v>1609</v>
      </c>
      <c r="H26" s="128"/>
      <c r="I26" s="136">
        <v>101550</v>
      </c>
      <c r="J26" s="136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727528.14999999991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995613.6320000001</v>
      </c>
      <c r="J31" s="148"/>
    </row>
    <row r="32" spans="1:10" x14ac:dyDescent="0.2">
      <c r="A32" s="144" t="s">
        <v>49</v>
      </c>
      <c r="B32" s="144"/>
      <c r="C32" s="144"/>
      <c r="D32" s="144"/>
      <c r="E32" s="144"/>
      <c r="F32" s="144"/>
      <c r="G32" s="144"/>
      <c r="H32" s="144"/>
      <c r="I32" s="184"/>
      <c r="J32" s="184"/>
    </row>
    <row r="33" spans="1:10" x14ac:dyDescent="0.2">
      <c r="A33" s="134" t="s">
        <v>1245</v>
      </c>
      <c r="B33" s="134"/>
      <c r="C33" s="134"/>
      <c r="D33" s="134"/>
      <c r="E33" s="134"/>
      <c r="F33" s="134"/>
      <c r="G33" s="134"/>
      <c r="H33" s="134"/>
      <c r="I33" s="135">
        <v>-73459.149999999994</v>
      </c>
      <c r="J33" s="135"/>
    </row>
    <row r="34" spans="1:10" x14ac:dyDescent="0.2">
      <c r="A34" s="134" t="s">
        <v>1394</v>
      </c>
      <c r="B34" s="134"/>
      <c r="C34" s="134"/>
      <c r="D34" s="134"/>
      <c r="E34" s="134"/>
      <c r="F34" s="134"/>
      <c r="G34" s="134"/>
      <c r="H34" s="134"/>
      <c r="I34" s="135">
        <v>-118026.45</v>
      </c>
      <c r="J34" s="135"/>
    </row>
    <row r="35" spans="1:10" ht="13.5" thickBot="1" x14ac:dyDescent="0.25">
      <c r="A35" s="144" t="s">
        <v>50</v>
      </c>
      <c r="B35" s="144"/>
      <c r="C35" s="144"/>
      <c r="D35" s="144"/>
      <c r="E35" s="144"/>
      <c r="F35" s="144"/>
      <c r="G35" s="144"/>
      <c r="H35" s="144"/>
      <c r="I35" s="145">
        <f>I28</f>
        <v>727528.14999999991</v>
      </c>
      <c r="J35" s="145"/>
    </row>
    <row r="36" spans="1:10" ht="13.5" thickTop="1" x14ac:dyDescent="0.2">
      <c r="H36" s="18" t="s">
        <v>33</v>
      </c>
      <c r="I36" s="129">
        <f>I31+I32+I33+I34-I35</f>
        <v>76599.882000000216</v>
      </c>
      <c r="J36" s="130"/>
    </row>
    <row r="38" spans="1:10" ht="15" x14ac:dyDescent="0.25">
      <c r="A38" s="131" t="s">
        <v>51</v>
      </c>
      <c r="B38" s="132"/>
      <c r="C38" s="132"/>
      <c r="D38" s="132"/>
      <c r="E38" s="132"/>
      <c r="F38" s="132"/>
      <c r="G38" s="132"/>
      <c r="H38" s="132"/>
      <c r="I38" s="132"/>
      <c r="J38" s="133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</sheetData>
  <mergeCells count="91"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21:C21"/>
    <mergeCell ref="E21:F21"/>
    <mergeCell ref="G21:H21"/>
    <mergeCell ref="I21:J21"/>
    <mergeCell ref="B22:C22"/>
    <mergeCell ref="E22:F22"/>
    <mergeCell ref="G22:H22"/>
    <mergeCell ref="I22:J22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I30:J30"/>
    <mergeCell ref="A31:H31"/>
    <mergeCell ref="I31:J31"/>
    <mergeCell ref="B27:C27"/>
    <mergeCell ref="E27:F27"/>
    <mergeCell ref="G27:H27"/>
    <mergeCell ref="I28:J28"/>
    <mergeCell ref="I36:J36"/>
    <mergeCell ref="A38:J38"/>
    <mergeCell ref="A39:J44"/>
    <mergeCell ref="A32:H32"/>
    <mergeCell ref="I32:J32"/>
    <mergeCell ref="A35:H35"/>
    <mergeCell ref="I35:J35"/>
    <mergeCell ref="A33:H33"/>
    <mergeCell ref="I34:J34"/>
    <mergeCell ref="I33:J33"/>
    <mergeCell ref="A34:H34"/>
    <mergeCell ref="B25:C25"/>
    <mergeCell ref="E25:F25"/>
    <mergeCell ref="G25:H25"/>
    <mergeCell ref="I25:J25"/>
    <mergeCell ref="I27:J27"/>
  </mergeCells>
  <phoneticPr fontId="6" type="noConversion"/>
  <pageMargins left="0.75" right="0.75" top="1" bottom="1" header="0.5" footer="0.5"/>
  <pageSetup scale="92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35"/>
  <dimension ref="A1:J41"/>
  <sheetViews>
    <sheetView workbookViewId="0">
      <selection activeCell="J6" sqref="J6"/>
    </sheetView>
  </sheetViews>
  <sheetFormatPr defaultRowHeight="12.75" x14ac:dyDescent="0.2"/>
  <cols>
    <col min="6" max="6" width="13.7109375" customWidth="1"/>
    <col min="9" max="9" width="12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500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290" t="s">
        <v>27</v>
      </c>
      <c r="J4" s="232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233"/>
      <c r="J5" s="331"/>
    </row>
    <row r="6" spans="1:10" x14ac:dyDescent="0.2">
      <c r="A6" s="9">
        <v>1</v>
      </c>
      <c r="B6" s="128">
        <v>5332567</v>
      </c>
      <c r="C6" s="128"/>
      <c r="D6" s="128"/>
      <c r="E6" s="128"/>
      <c r="F6" s="12">
        <v>35185</v>
      </c>
      <c r="G6" s="169" t="s">
        <v>501</v>
      </c>
      <c r="H6" s="169"/>
      <c r="I6" s="69">
        <v>202400</v>
      </c>
      <c r="J6" s="64">
        <f>I6*0.8</f>
        <v>161920</v>
      </c>
    </row>
    <row r="7" spans="1:10" x14ac:dyDescent="0.2">
      <c r="A7" s="9">
        <v>2</v>
      </c>
      <c r="B7" s="128">
        <v>5332265</v>
      </c>
      <c r="C7" s="128"/>
      <c r="D7" s="128">
        <v>5332273</v>
      </c>
      <c r="E7" s="128"/>
      <c r="F7" s="12">
        <v>42810</v>
      </c>
      <c r="G7" s="169"/>
      <c r="H7" s="169"/>
      <c r="I7" s="69">
        <v>171729.35</v>
      </c>
      <c r="J7" s="64">
        <f>I7*0.8</f>
        <v>137383.48000000001</v>
      </c>
    </row>
    <row r="8" spans="1:10" x14ac:dyDescent="0.2">
      <c r="A8" s="9">
        <v>3</v>
      </c>
      <c r="B8" s="128">
        <v>5331137</v>
      </c>
      <c r="C8" s="128"/>
      <c r="D8" s="128">
        <v>5331080</v>
      </c>
      <c r="E8" s="128"/>
      <c r="F8" s="12">
        <v>43836</v>
      </c>
      <c r="G8" s="169"/>
      <c r="H8" s="169"/>
      <c r="I8" s="69">
        <v>183162.43</v>
      </c>
      <c r="J8" s="64">
        <f>I8*0.8</f>
        <v>146529.94399999999</v>
      </c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69"/>
      <c r="J9" s="64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69"/>
      <c r="J10" s="64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69"/>
      <c r="J11" s="64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69"/>
      <c r="J12" s="64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71"/>
      <c r="J13" s="89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87">
        <f>SUM(I6:I13)</f>
        <v>557291.78</v>
      </c>
      <c r="J14" s="104">
        <f>SUM(J6:J13)</f>
        <v>445833.424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9">
        <v>1</v>
      </c>
      <c r="B19" s="137"/>
      <c r="C19" s="137"/>
      <c r="D19" s="19"/>
      <c r="E19" s="137"/>
      <c r="F19" s="137"/>
      <c r="G19" s="137" t="s">
        <v>1421</v>
      </c>
      <c r="H19" s="137"/>
      <c r="I19" s="330"/>
      <c r="J19" s="330"/>
    </row>
    <row r="20" spans="1:10" x14ac:dyDescent="0.2">
      <c r="A20" s="9"/>
      <c r="B20" s="128"/>
      <c r="C20" s="128"/>
      <c r="D20" s="9"/>
      <c r="E20" s="128"/>
      <c r="F20" s="128"/>
      <c r="G20" s="128"/>
      <c r="H20" s="128"/>
      <c r="I20" s="239"/>
      <c r="J20" s="239"/>
    </row>
    <row r="21" spans="1:10" x14ac:dyDescent="0.2">
      <c r="A21" s="9"/>
      <c r="B21" s="128"/>
      <c r="C21" s="128"/>
      <c r="D21" s="9"/>
      <c r="E21" s="128"/>
      <c r="F21" s="128"/>
      <c r="G21" s="128"/>
      <c r="H21" s="128"/>
      <c r="I21" s="239"/>
      <c r="J21" s="239"/>
    </row>
    <row r="22" spans="1:10" x14ac:dyDescent="0.2">
      <c r="A22" s="9"/>
      <c r="B22" s="128"/>
      <c r="C22" s="128"/>
      <c r="D22" s="9"/>
      <c r="E22" s="128"/>
      <c r="F22" s="128"/>
      <c r="G22" s="128"/>
      <c r="H22" s="128"/>
      <c r="I22" s="239"/>
      <c r="J22" s="239"/>
    </row>
    <row r="23" spans="1:10" x14ac:dyDescent="0.2">
      <c r="A23" s="9"/>
      <c r="B23" s="128"/>
      <c r="C23" s="128"/>
      <c r="D23" s="9"/>
      <c r="E23" s="128"/>
      <c r="F23" s="128"/>
      <c r="G23" s="128"/>
      <c r="H23" s="128"/>
      <c r="I23" s="239"/>
      <c r="J23" s="239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239"/>
      <c r="J24" s="239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239"/>
      <c r="J25" s="239"/>
    </row>
    <row r="26" spans="1:10" ht="13.5" thickBot="1" x14ac:dyDescent="0.25">
      <c r="A26" s="9"/>
      <c r="B26" s="128"/>
      <c r="C26" s="128"/>
      <c r="D26" s="9"/>
      <c r="E26" s="128"/>
      <c r="F26" s="128"/>
      <c r="G26" s="128"/>
      <c r="H26" s="128"/>
      <c r="I26" s="241"/>
      <c r="J26" s="241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242">
        <f>SUM(I19:J26)</f>
        <v>0</v>
      </c>
      <c r="J27" s="242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49" t="s">
        <v>47</v>
      </c>
      <c r="J29" s="150"/>
    </row>
    <row r="30" spans="1:10" x14ac:dyDescent="0.2">
      <c r="A30" s="144" t="s">
        <v>48</v>
      </c>
      <c r="B30" s="144"/>
      <c r="C30" s="144"/>
      <c r="D30" s="144"/>
      <c r="E30" s="144"/>
      <c r="F30" s="144"/>
      <c r="G30" s="144"/>
      <c r="H30" s="144"/>
      <c r="I30" s="148">
        <f>I14*80%</f>
        <v>445833.42400000006</v>
      </c>
      <c r="J30" s="148"/>
    </row>
    <row r="31" spans="1:10" x14ac:dyDescent="0.2">
      <c r="A31" s="144" t="s">
        <v>49</v>
      </c>
      <c r="B31" s="144"/>
      <c r="C31" s="144"/>
      <c r="D31" s="144"/>
      <c r="E31" s="144"/>
      <c r="F31" s="144"/>
      <c r="G31" s="144"/>
      <c r="H31" s="144"/>
      <c r="I31" s="184">
        <v>-161920</v>
      </c>
      <c r="J31" s="184"/>
    </row>
    <row r="32" spans="1:10" ht="13.5" thickBot="1" x14ac:dyDescent="0.25">
      <c r="A32" s="144" t="s">
        <v>50</v>
      </c>
      <c r="B32" s="144"/>
      <c r="C32" s="144"/>
      <c r="D32" s="144"/>
      <c r="E32" s="144"/>
      <c r="F32" s="144"/>
      <c r="G32" s="144"/>
      <c r="H32" s="144"/>
      <c r="I32" s="145">
        <f>I27</f>
        <v>0</v>
      </c>
      <c r="J32" s="145"/>
    </row>
    <row r="33" spans="1:10" ht="13.5" thickTop="1" x14ac:dyDescent="0.2">
      <c r="H33" s="18" t="s">
        <v>33</v>
      </c>
      <c r="I33" s="129">
        <f>I30+I31-I32</f>
        <v>283913.42400000006</v>
      </c>
      <c r="J33" s="130"/>
    </row>
    <row r="35" spans="1:10" ht="15" x14ac:dyDescent="0.25">
      <c r="A35" s="131" t="s">
        <v>51</v>
      </c>
      <c r="B35" s="132"/>
      <c r="C35" s="132"/>
      <c r="D35" s="132"/>
      <c r="E35" s="132"/>
      <c r="F35" s="132"/>
      <c r="G35" s="132"/>
      <c r="H35" s="132"/>
      <c r="I35" s="132"/>
      <c r="J35" s="133"/>
    </row>
    <row r="36" spans="1:10" x14ac:dyDescent="0.2">
      <c r="A36" s="139" t="s">
        <v>502</v>
      </c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0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</sheetData>
  <mergeCells count="83"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13:C13"/>
    <mergeCell ref="D13:E13"/>
    <mergeCell ref="G13:H13"/>
    <mergeCell ref="B12:C12"/>
    <mergeCell ref="D12:E12"/>
    <mergeCell ref="G12:H12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I17:J18"/>
    <mergeCell ref="B21:C21"/>
    <mergeCell ref="E21:F21"/>
    <mergeCell ref="G21:H21"/>
    <mergeCell ref="I21:J21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5:C25"/>
    <mergeCell ref="E25:F25"/>
    <mergeCell ref="G25:H25"/>
    <mergeCell ref="I25:J25"/>
    <mergeCell ref="B24:C24"/>
    <mergeCell ref="E24:F24"/>
    <mergeCell ref="G24:H24"/>
    <mergeCell ref="I24:J24"/>
    <mergeCell ref="I27:J27"/>
    <mergeCell ref="I29:J29"/>
    <mergeCell ref="A30:H30"/>
    <mergeCell ref="I30:J30"/>
    <mergeCell ref="B26:C26"/>
    <mergeCell ref="E26:F26"/>
    <mergeCell ref="G26:H26"/>
    <mergeCell ref="I26:J26"/>
    <mergeCell ref="I33:J33"/>
    <mergeCell ref="A35:J35"/>
    <mergeCell ref="A36:J41"/>
    <mergeCell ref="A31:H31"/>
    <mergeCell ref="I31:J31"/>
    <mergeCell ref="A32:H32"/>
    <mergeCell ref="I32:J32"/>
  </mergeCells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36">
    <pageSetUpPr fitToPage="1"/>
  </sheetPr>
  <dimension ref="A1:K70"/>
  <sheetViews>
    <sheetView topLeftCell="A34" workbookViewId="0">
      <selection activeCell="K22" sqref="K22"/>
    </sheetView>
  </sheetViews>
  <sheetFormatPr defaultRowHeight="12.75" x14ac:dyDescent="0.2"/>
  <cols>
    <col min="6" max="6" width="10.140625" bestFit="1" customWidth="1"/>
    <col min="8" max="8" width="17" customWidth="1"/>
    <col min="9" max="10" width="13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503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290" t="s">
        <v>27</v>
      </c>
      <c r="J4" s="234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233"/>
      <c r="J5" s="176"/>
    </row>
    <row r="6" spans="1:10" x14ac:dyDescent="0.2">
      <c r="A6" s="9">
        <v>1</v>
      </c>
      <c r="B6" s="128">
        <v>5447178</v>
      </c>
      <c r="C6" s="128"/>
      <c r="D6" s="128">
        <v>5447186</v>
      </c>
      <c r="E6" s="128"/>
      <c r="F6" s="12">
        <v>41221</v>
      </c>
      <c r="G6" s="169"/>
      <c r="H6" s="169"/>
      <c r="I6" s="64">
        <v>58945.53</v>
      </c>
      <c r="J6" s="70">
        <f t="shared" ref="J6:J22" si="0">I6*0.8</f>
        <v>47156.423999999999</v>
      </c>
    </row>
    <row r="7" spans="1:10" x14ac:dyDescent="0.2">
      <c r="A7" s="9">
        <v>2</v>
      </c>
      <c r="B7" s="128">
        <v>5446511</v>
      </c>
      <c r="C7" s="128"/>
      <c r="D7" s="128">
        <v>5446538</v>
      </c>
      <c r="E7" s="128"/>
      <c r="F7" s="12">
        <v>41330</v>
      </c>
      <c r="G7" s="169"/>
      <c r="H7" s="169"/>
      <c r="I7" s="64">
        <v>119486.58</v>
      </c>
      <c r="J7" s="70">
        <f t="shared" si="0"/>
        <v>95589.26400000001</v>
      </c>
    </row>
    <row r="8" spans="1:10" x14ac:dyDescent="0.2">
      <c r="A8" s="9">
        <v>3</v>
      </c>
      <c r="B8" s="128">
        <v>5437385</v>
      </c>
      <c r="C8" s="128"/>
      <c r="D8" s="137" t="s">
        <v>1062</v>
      </c>
      <c r="E8" s="128"/>
      <c r="F8" s="75">
        <v>41359</v>
      </c>
      <c r="G8" s="169"/>
      <c r="H8" s="169"/>
      <c r="I8" s="64">
        <v>54262.13</v>
      </c>
      <c r="J8" s="70">
        <f t="shared" si="0"/>
        <v>43409.703999999998</v>
      </c>
    </row>
    <row r="9" spans="1:10" x14ac:dyDescent="0.2">
      <c r="A9" s="9">
        <v>4</v>
      </c>
      <c r="B9" s="128">
        <v>5443628</v>
      </c>
      <c r="C9" s="128"/>
      <c r="D9" s="128">
        <v>5443636</v>
      </c>
      <c r="E9" s="128"/>
      <c r="F9" s="12">
        <v>41752</v>
      </c>
      <c r="G9" s="169"/>
      <c r="H9" s="169"/>
      <c r="I9" s="64">
        <v>101189.79</v>
      </c>
      <c r="J9" s="70">
        <f t="shared" si="0"/>
        <v>80951.831999999995</v>
      </c>
    </row>
    <row r="10" spans="1:10" x14ac:dyDescent="0.2">
      <c r="A10" s="9">
        <v>5</v>
      </c>
      <c r="B10" s="128">
        <v>5442680</v>
      </c>
      <c r="C10" s="128"/>
      <c r="D10" s="128">
        <v>5442699</v>
      </c>
      <c r="E10" s="128"/>
      <c r="F10" s="12">
        <v>41869</v>
      </c>
      <c r="G10" s="169"/>
      <c r="H10" s="169"/>
      <c r="I10" s="64">
        <v>53895.78</v>
      </c>
      <c r="J10" s="70">
        <f t="shared" si="0"/>
        <v>43116.624000000003</v>
      </c>
    </row>
    <row r="11" spans="1:10" x14ac:dyDescent="0.2">
      <c r="A11" s="9">
        <v>6</v>
      </c>
      <c r="B11" s="128">
        <v>5451027</v>
      </c>
      <c r="C11" s="128"/>
      <c r="D11" s="128">
        <v>5451035</v>
      </c>
      <c r="E11" s="128"/>
      <c r="F11" s="12">
        <v>41869</v>
      </c>
      <c r="G11" s="169"/>
      <c r="H11" s="169"/>
      <c r="I11" s="64">
        <v>71052.429999999993</v>
      </c>
      <c r="J11" s="70">
        <f t="shared" si="0"/>
        <v>56841.943999999996</v>
      </c>
    </row>
    <row r="12" spans="1:10" x14ac:dyDescent="0.2">
      <c r="A12" s="9">
        <v>7</v>
      </c>
      <c r="B12" s="128">
        <v>5439493</v>
      </c>
      <c r="C12" s="128"/>
      <c r="D12" s="128">
        <v>5430000</v>
      </c>
      <c r="E12" s="128"/>
      <c r="F12" s="12">
        <v>42033</v>
      </c>
      <c r="G12" s="169"/>
      <c r="H12" s="169"/>
      <c r="I12" s="64">
        <v>96433.8</v>
      </c>
      <c r="J12" s="70">
        <f t="shared" si="0"/>
        <v>77147.040000000008</v>
      </c>
    </row>
    <row r="13" spans="1:10" x14ac:dyDescent="0.2">
      <c r="A13" s="9">
        <v>8</v>
      </c>
      <c r="B13" s="128">
        <v>5436184</v>
      </c>
      <c r="C13" s="128"/>
      <c r="D13" s="128">
        <v>5430001</v>
      </c>
      <c r="E13" s="128"/>
      <c r="F13" s="12">
        <v>42317</v>
      </c>
      <c r="G13" s="169"/>
      <c r="H13" s="169"/>
      <c r="I13" s="64">
        <v>49963.43</v>
      </c>
      <c r="J13" s="70">
        <f t="shared" si="0"/>
        <v>39970.744000000006</v>
      </c>
    </row>
    <row r="14" spans="1:10" x14ac:dyDescent="0.2">
      <c r="A14" s="9">
        <v>9</v>
      </c>
      <c r="B14" s="128">
        <v>5441374</v>
      </c>
      <c r="C14" s="128"/>
      <c r="D14" s="128">
        <v>5441375</v>
      </c>
      <c r="E14" s="128"/>
      <c r="F14" s="12">
        <v>42912</v>
      </c>
      <c r="G14" s="169"/>
      <c r="H14" s="169"/>
      <c r="I14" s="64">
        <v>69455.69</v>
      </c>
      <c r="J14" s="70">
        <f t="shared" si="0"/>
        <v>55564.552000000003</v>
      </c>
    </row>
    <row r="15" spans="1:10" x14ac:dyDescent="0.2">
      <c r="A15" s="9">
        <v>10</v>
      </c>
      <c r="B15" s="128">
        <v>5459958</v>
      </c>
      <c r="C15" s="128"/>
      <c r="D15" s="128">
        <v>5459959</v>
      </c>
      <c r="E15" s="128"/>
      <c r="F15" s="12">
        <v>42912</v>
      </c>
      <c r="G15" s="169"/>
      <c r="H15" s="169"/>
      <c r="I15" s="64">
        <v>73644.25</v>
      </c>
      <c r="J15" s="70">
        <f t="shared" si="0"/>
        <v>58915.4</v>
      </c>
    </row>
    <row r="16" spans="1:10" x14ac:dyDescent="0.2">
      <c r="A16" s="9">
        <v>11</v>
      </c>
      <c r="B16" s="128">
        <v>5454506</v>
      </c>
      <c r="C16" s="128"/>
      <c r="D16" s="128">
        <v>5454507</v>
      </c>
      <c r="E16" s="128"/>
      <c r="F16" s="12">
        <v>43026</v>
      </c>
      <c r="G16" s="169"/>
      <c r="H16" s="169"/>
      <c r="I16" s="64">
        <v>44877.15</v>
      </c>
      <c r="J16" s="70">
        <f t="shared" si="0"/>
        <v>35901.72</v>
      </c>
    </row>
    <row r="17" spans="1:10" x14ac:dyDescent="0.2">
      <c r="A17" s="9">
        <v>12</v>
      </c>
      <c r="B17" s="128">
        <v>5459451</v>
      </c>
      <c r="C17" s="128"/>
      <c r="D17" s="128">
        <v>5459452</v>
      </c>
      <c r="E17" s="128"/>
      <c r="F17" s="12">
        <v>43132</v>
      </c>
      <c r="G17" s="169"/>
      <c r="H17" s="169"/>
      <c r="I17" s="64">
        <v>93352.79</v>
      </c>
      <c r="J17" s="70">
        <f t="shared" si="0"/>
        <v>74682.232000000004</v>
      </c>
    </row>
    <row r="18" spans="1:10" x14ac:dyDescent="0.2">
      <c r="A18" s="9">
        <v>13</v>
      </c>
      <c r="B18" s="128">
        <v>5444799</v>
      </c>
      <c r="C18" s="128"/>
      <c r="D18" s="128">
        <v>5444900</v>
      </c>
      <c r="E18" s="128"/>
      <c r="F18" s="12">
        <v>43836</v>
      </c>
      <c r="G18" s="169"/>
      <c r="H18" s="169"/>
      <c r="I18" s="64">
        <v>155907.79999999999</v>
      </c>
      <c r="J18" s="70">
        <f t="shared" si="0"/>
        <v>124726.23999999999</v>
      </c>
    </row>
    <row r="19" spans="1:10" x14ac:dyDescent="0.2">
      <c r="A19" s="9">
        <v>14</v>
      </c>
      <c r="B19" s="128">
        <v>5430348</v>
      </c>
      <c r="C19" s="128"/>
      <c r="D19" s="128">
        <v>5430349</v>
      </c>
      <c r="E19" s="128"/>
      <c r="F19" s="12">
        <v>43836</v>
      </c>
      <c r="G19" s="169"/>
      <c r="H19" s="169"/>
      <c r="I19" s="64">
        <v>151858.73000000001</v>
      </c>
      <c r="J19" s="70">
        <f t="shared" si="0"/>
        <v>121486.98400000001</v>
      </c>
    </row>
    <row r="20" spans="1:10" x14ac:dyDescent="0.2">
      <c r="A20" s="9">
        <v>15</v>
      </c>
      <c r="B20" s="128">
        <v>5452074</v>
      </c>
      <c r="C20" s="128"/>
      <c r="D20" s="128">
        <v>5452075</v>
      </c>
      <c r="E20" s="128"/>
      <c r="F20" s="12">
        <v>44215</v>
      </c>
      <c r="G20" s="261" t="s">
        <v>1437</v>
      </c>
      <c r="H20" s="169"/>
      <c r="I20" s="64">
        <v>108953.7</v>
      </c>
      <c r="J20" s="70">
        <f t="shared" si="0"/>
        <v>87162.96</v>
      </c>
    </row>
    <row r="21" spans="1:10" x14ac:dyDescent="0.2">
      <c r="A21" s="9">
        <v>16</v>
      </c>
      <c r="B21" s="128">
        <v>5436753</v>
      </c>
      <c r="C21" s="128"/>
      <c r="D21" s="128">
        <v>5436754</v>
      </c>
      <c r="E21" s="128"/>
      <c r="F21" s="12">
        <v>44453</v>
      </c>
      <c r="G21" s="169"/>
      <c r="H21" s="169"/>
      <c r="I21" s="64">
        <v>177696.38</v>
      </c>
      <c r="J21" s="70">
        <f t="shared" si="0"/>
        <v>142157.10400000002</v>
      </c>
    </row>
    <row r="22" spans="1:10" x14ac:dyDescent="0.2">
      <c r="A22" s="9">
        <v>17</v>
      </c>
      <c r="B22" s="128">
        <v>5459516</v>
      </c>
      <c r="C22" s="128"/>
      <c r="D22" s="128">
        <v>5459517</v>
      </c>
      <c r="E22" s="128"/>
      <c r="F22" s="12">
        <v>45222</v>
      </c>
      <c r="G22" s="169" t="s">
        <v>1649</v>
      </c>
      <c r="H22" s="169"/>
      <c r="I22" s="64">
        <v>205196.46</v>
      </c>
      <c r="J22" s="70">
        <f t="shared" si="0"/>
        <v>164157.16800000001</v>
      </c>
    </row>
    <row r="23" spans="1:10" x14ac:dyDescent="0.2">
      <c r="A23" s="9"/>
      <c r="B23" s="128"/>
      <c r="C23" s="128"/>
      <c r="D23" s="128"/>
      <c r="E23" s="128"/>
      <c r="F23" s="12"/>
      <c r="G23" s="169"/>
      <c r="H23" s="169"/>
      <c r="I23" s="64"/>
      <c r="J23" s="70"/>
    </row>
    <row r="24" spans="1:10" ht="13.5" thickBot="1" x14ac:dyDescent="0.25">
      <c r="A24" s="9"/>
      <c r="B24" s="128"/>
      <c r="C24" s="128"/>
      <c r="D24" s="128"/>
      <c r="E24" s="128"/>
      <c r="F24" s="12"/>
      <c r="G24" s="169"/>
      <c r="H24" s="169"/>
      <c r="I24" s="65"/>
      <c r="J24" s="72"/>
    </row>
    <row r="25" spans="1:10" ht="13.5" thickTop="1" x14ac:dyDescent="0.2">
      <c r="A25" s="13"/>
      <c r="B25" s="13"/>
      <c r="C25" s="13"/>
      <c r="D25" s="13"/>
      <c r="E25" s="13"/>
      <c r="F25" s="13"/>
      <c r="G25" s="13"/>
      <c r="H25" s="13" t="s">
        <v>33</v>
      </c>
      <c r="I25" s="66">
        <f>SUM(I6:I24)</f>
        <v>1686172.42</v>
      </c>
      <c r="J25" s="79">
        <f>SUM(J6:J24)</f>
        <v>1348937.936</v>
      </c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131" t="s">
        <v>34</v>
      </c>
      <c r="B27" s="132"/>
      <c r="C27" s="132"/>
      <c r="D27" s="132"/>
      <c r="E27" s="132"/>
      <c r="F27" s="132"/>
      <c r="G27" s="132"/>
      <c r="H27" s="132"/>
      <c r="I27" s="132"/>
      <c r="J27" s="133"/>
    </row>
    <row r="28" spans="1:10" x14ac:dyDescent="0.2">
      <c r="A28" s="169" t="s">
        <v>23</v>
      </c>
      <c r="B28" s="169" t="s">
        <v>35</v>
      </c>
      <c r="C28" s="169"/>
      <c r="D28" s="169" t="s">
        <v>36</v>
      </c>
      <c r="E28" s="169" t="s">
        <v>37</v>
      </c>
      <c r="F28" s="169"/>
      <c r="G28" s="169" t="s">
        <v>38</v>
      </c>
      <c r="H28" s="169"/>
      <c r="I28" s="169" t="s">
        <v>39</v>
      </c>
      <c r="J28" s="169"/>
    </row>
    <row r="29" spans="1:10" x14ac:dyDescent="0.2">
      <c r="A29" s="169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2">
      <c r="A30" s="9">
        <v>1</v>
      </c>
      <c r="B30" s="183" t="s">
        <v>504</v>
      </c>
      <c r="C30" s="128"/>
      <c r="D30" s="9">
        <v>9195</v>
      </c>
      <c r="E30" s="182">
        <v>33178</v>
      </c>
      <c r="F30" s="128"/>
      <c r="G30" s="128">
        <v>5403001</v>
      </c>
      <c r="H30" s="128"/>
      <c r="I30" s="136">
        <v>0</v>
      </c>
      <c r="J30" s="136"/>
    </row>
    <row r="31" spans="1:10" x14ac:dyDescent="0.2">
      <c r="A31" s="9">
        <v>2</v>
      </c>
      <c r="B31" s="128">
        <v>478387</v>
      </c>
      <c r="C31" s="128"/>
      <c r="D31" s="9">
        <v>79574</v>
      </c>
      <c r="E31" s="182">
        <v>40925</v>
      </c>
      <c r="F31" s="128"/>
      <c r="G31" s="128" t="s">
        <v>505</v>
      </c>
      <c r="H31" s="128"/>
      <c r="I31" s="136">
        <v>126564.44</v>
      </c>
      <c r="J31" s="136"/>
    </row>
    <row r="32" spans="1:10" x14ac:dyDescent="0.2">
      <c r="A32" s="9">
        <v>3</v>
      </c>
      <c r="B32" s="192">
        <v>478602</v>
      </c>
      <c r="C32" s="204"/>
      <c r="D32" s="9">
        <v>82177</v>
      </c>
      <c r="E32" s="125">
        <v>40248</v>
      </c>
      <c r="F32" s="204"/>
      <c r="G32" s="227" t="s">
        <v>506</v>
      </c>
      <c r="H32" s="204"/>
      <c r="I32" s="194">
        <v>125120.02</v>
      </c>
      <c r="J32" s="195"/>
    </row>
    <row r="33" spans="1:11" x14ac:dyDescent="0.2">
      <c r="A33" s="9">
        <v>4</v>
      </c>
      <c r="B33" s="128"/>
      <c r="C33" s="128"/>
      <c r="D33" s="9">
        <v>83314</v>
      </c>
      <c r="E33" s="182">
        <v>40982</v>
      </c>
      <c r="F33" s="128"/>
      <c r="G33" s="128" t="s">
        <v>509</v>
      </c>
      <c r="H33" s="128"/>
      <c r="I33" s="136">
        <v>104461.71</v>
      </c>
      <c r="J33" s="136"/>
    </row>
    <row r="34" spans="1:11" x14ac:dyDescent="0.2">
      <c r="A34" s="9">
        <v>5</v>
      </c>
      <c r="B34" s="128"/>
      <c r="C34" s="128"/>
      <c r="D34" s="9">
        <v>82178</v>
      </c>
      <c r="E34" s="182">
        <v>40939</v>
      </c>
      <c r="F34" s="128"/>
      <c r="G34" s="128" t="s">
        <v>508</v>
      </c>
      <c r="H34" s="128"/>
      <c r="I34" s="136">
        <v>16198.79</v>
      </c>
      <c r="J34" s="136"/>
    </row>
    <row r="35" spans="1:11" x14ac:dyDescent="0.2">
      <c r="A35" s="9">
        <v>6</v>
      </c>
      <c r="B35" s="128"/>
      <c r="C35" s="128"/>
      <c r="D35" s="9">
        <v>83315</v>
      </c>
      <c r="E35" s="128"/>
      <c r="F35" s="128"/>
      <c r="G35" s="230" t="s">
        <v>984</v>
      </c>
      <c r="H35" s="128"/>
      <c r="I35" s="136">
        <v>2318.1999999999998</v>
      </c>
      <c r="J35" s="136"/>
      <c r="K35" s="107"/>
    </row>
    <row r="36" spans="1:11" x14ac:dyDescent="0.2">
      <c r="A36" s="9"/>
      <c r="B36" s="128"/>
      <c r="C36" s="128"/>
      <c r="D36" s="9">
        <v>83315</v>
      </c>
      <c r="E36" s="128"/>
      <c r="F36" s="128"/>
      <c r="G36" s="230" t="s">
        <v>984</v>
      </c>
      <c r="H36" s="128"/>
      <c r="I36" s="136">
        <v>4131.5</v>
      </c>
      <c r="J36" s="136"/>
    </row>
    <row r="37" spans="1:11" x14ac:dyDescent="0.2">
      <c r="A37" s="9"/>
      <c r="B37" s="128"/>
      <c r="C37" s="128"/>
      <c r="D37" s="9">
        <v>83315</v>
      </c>
      <c r="E37" s="128"/>
      <c r="F37" s="128"/>
      <c r="G37" s="230" t="s">
        <v>984</v>
      </c>
      <c r="H37" s="128"/>
      <c r="I37" s="136">
        <v>295.39999999999998</v>
      </c>
      <c r="J37" s="136"/>
    </row>
    <row r="38" spans="1:11" x14ac:dyDescent="0.2">
      <c r="A38" s="19">
        <v>7</v>
      </c>
      <c r="B38" s="137"/>
      <c r="C38" s="137"/>
      <c r="D38" s="19">
        <v>84823</v>
      </c>
      <c r="E38" s="196">
        <v>41774</v>
      </c>
      <c r="F38" s="137"/>
      <c r="G38" s="137" t="s">
        <v>1031</v>
      </c>
      <c r="H38" s="137"/>
      <c r="I38" s="138">
        <v>51358.6</v>
      </c>
      <c r="J38" s="138"/>
    </row>
    <row r="39" spans="1:11" x14ac:dyDescent="0.2">
      <c r="A39" s="19">
        <v>8</v>
      </c>
      <c r="B39" s="137"/>
      <c r="C39" s="137"/>
      <c r="D39" s="19">
        <v>84821</v>
      </c>
      <c r="E39" s="196">
        <v>41774</v>
      </c>
      <c r="F39" s="137"/>
      <c r="G39" s="137" t="s">
        <v>1034</v>
      </c>
      <c r="H39" s="137"/>
      <c r="I39" s="138">
        <v>47337.97</v>
      </c>
      <c r="J39" s="138"/>
    </row>
    <row r="40" spans="1:11" x14ac:dyDescent="0.2">
      <c r="A40" s="19">
        <v>9</v>
      </c>
      <c r="B40" s="137"/>
      <c r="C40" s="137"/>
      <c r="D40" s="19">
        <v>89127</v>
      </c>
      <c r="E40" s="196">
        <v>43549</v>
      </c>
      <c r="F40" s="137"/>
      <c r="G40" s="137" t="s">
        <v>1063</v>
      </c>
      <c r="H40" s="137"/>
      <c r="I40" s="138">
        <v>43101.68</v>
      </c>
      <c r="J40" s="138"/>
    </row>
    <row r="41" spans="1:11" x14ac:dyDescent="0.2">
      <c r="A41" s="82">
        <v>10</v>
      </c>
      <c r="B41" s="198"/>
      <c r="C41" s="198"/>
      <c r="D41" s="82">
        <v>111214</v>
      </c>
      <c r="E41" s="253">
        <v>45125</v>
      </c>
      <c r="F41" s="198"/>
      <c r="G41" s="198" t="s">
        <v>1349</v>
      </c>
      <c r="H41" s="198"/>
      <c r="I41" s="199">
        <v>214747.5</v>
      </c>
      <c r="J41" s="199"/>
    </row>
    <row r="42" spans="1:11" x14ac:dyDescent="0.2">
      <c r="A42" s="82"/>
      <c r="B42" s="198"/>
      <c r="C42" s="198"/>
      <c r="D42" s="82"/>
      <c r="E42" s="198"/>
      <c r="F42" s="198"/>
      <c r="G42" s="198" t="s">
        <v>1656</v>
      </c>
      <c r="H42" s="198"/>
      <c r="I42" s="199">
        <v>118185</v>
      </c>
      <c r="J42" s="199"/>
    </row>
    <row r="43" spans="1:11" x14ac:dyDescent="0.2">
      <c r="A43" s="82"/>
      <c r="B43" s="198"/>
      <c r="C43" s="198"/>
      <c r="D43" s="82"/>
      <c r="E43" s="198"/>
      <c r="F43" s="198"/>
      <c r="G43" s="198"/>
      <c r="H43" s="198"/>
      <c r="I43" s="199"/>
      <c r="J43" s="199"/>
    </row>
    <row r="44" spans="1:11" x14ac:dyDescent="0.2">
      <c r="A44" s="58"/>
      <c r="B44" s="151"/>
      <c r="C44" s="151"/>
      <c r="D44" s="58"/>
      <c r="E44" s="151"/>
      <c r="F44" s="151"/>
      <c r="G44" s="151"/>
      <c r="H44" s="151"/>
      <c r="I44" s="152"/>
      <c r="J44" s="152"/>
    </row>
    <row r="45" spans="1:11" ht="13.5" thickBot="1" x14ac:dyDescent="0.25">
      <c r="A45" s="9"/>
      <c r="B45" s="128"/>
      <c r="C45" s="128"/>
      <c r="D45" s="9"/>
      <c r="E45" s="128"/>
      <c r="F45" s="128"/>
      <c r="G45" s="128"/>
      <c r="H45" s="128"/>
      <c r="I45" s="226"/>
      <c r="J45" s="226"/>
    </row>
    <row r="46" spans="1:11" ht="13.5" thickTop="1" x14ac:dyDescent="0.2">
      <c r="A46" s="13"/>
      <c r="B46" s="13"/>
      <c r="C46" s="13"/>
      <c r="D46" s="13"/>
      <c r="E46" s="13"/>
      <c r="F46" s="13"/>
      <c r="G46" s="13"/>
      <c r="H46" s="13" t="s">
        <v>33</v>
      </c>
      <c r="I46" s="140">
        <f t="shared" ref="I46" si="1">SUM(I30:J45)</f>
        <v>853820.81</v>
      </c>
      <c r="J46" s="140"/>
    </row>
    <row r="47" spans="1:1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1" ht="15" x14ac:dyDescent="0.25">
      <c r="A48" s="15" t="s">
        <v>46</v>
      </c>
      <c r="B48" s="16"/>
      <c r="C48" s="16"/>
      <c r="D48" s="16"/>
      <c r="E48" s="16"/>
      <c r="F48" s="16"/>
      <c r="G48" s="16"/>
      <c r="H48" s="16"/>
      <c r="I48" s="149" t="s">
        <v>47</v>
      </c>
      <c r="J48" s="150"/>
    </row>
    <row r="49" spans="1:10" x14ac:dyDescent="0.2">
      <c r="A49" s="144" t="s">
        <v>48</v>
      </c>
      <c r="B49" s="144"/>
      <c r="C49" s="144"/>
      <c r="D49" s="144"/>
      <c r="E49" s="144"/>
      <c r="F49" s="144"/>
      <c r="G49" s="144"/>
      <c r="H49" s="144"/>
      <c r="I49" s="332">
        <f>I25*80%</f>
        <v>1348937.936</v>
      </c>
      <c r="J49" s="332"/>
    </row>
    <row r="50" spans="1:10" x14ac:dyDescent="0.2">
      <c r="A50" s="258" t="s">
        <v>49</v>
      </c>
      <c r="B50" s="144"/>
      <c r="C50" s="144"/>
      <c r="D50" s="144"/>
      <c r="E50" s="144"/>
      <c r="F50" s="144"/>
      <c r="G50" s="144"/>
      <c r="H50" s="144"/>
      <c r="I50" s="334">
        <v>397975</v>
      </c>
      <c r="J50" s="334"/>
    </row>
    <row r="51" spans="1:10" x14ac:dyDescent="0.2">
      <c r="A51" s="258" t="s">
        <v>975</v>
      </c>
      <c r="B51" s="144"/>
      <c r="C51" s="144"/>
      <c r="D51" s="144"/>
      <c r="E51" s="144"/>
      <c r="F51" s="144"/>
      <c r="G51" s="144"/>
      <c r="H51" s="144"/>
      <c r="I51" s="334">
        <v>4048.2</v>
      </c>
      <c r="J51" s="334"/>
    </row>
    <row r="52" spans="1:10" x14ac:dyDescent="0.2">
      <c r="A52" s="258" t="s">
        <v>980</v>
      </c>
      <c r="B52" s="144"/>
      <c r="C52" s="144"/>
      <c r="D52" s="144"/>
      <c r="E52" s="144"/>
      <c r="F52" s="144"/>
      <c r="G52" s="144"/>
      <c r="H52" s="144"/>
      <c r="I52" s="334">
        <v>2318.1999999999998</v>
      </c>
      <c r="J52" s="334"/>
    </row>
    <row r="53" spans="1:10" x14ac:dyDescent="0.2">
      <c r="A53" s="258" t="s">
        <v>980</v>
      </c>
      <c r="B53" s="144"/>
      <c r="C53" s="144"/>
      <c r="D53" s="144"/>
      <c r="E53" s="144"/>
      <c r="F53" s="144"/>
      <c r="G53" s="144"/>
      <c r="H53" s="144"/>
      <c r="I53" s="334">
        <v>1483</v>
      </c>
      <c r="J53" s="334"/>
    </row>
    <row r="54" spans="1:10" x14ac:dyDescent="0.2">
      <c r="A54" s="134" t="s">
        <v>1255</v>
      </c>
      <c r="B54" s="134"/>
      <c r="C54" s="134"/>
      <c r="D54" s="134"/>
      <c r="E54" s="134"/>
      <c r="F54" s="134"/>
      <c r="G54" s="134"/>
      <c r="H54" s="134"/>
      <c r="I54" s="336">
        <v>-72991.03</v>
      </c>
      <c r="J54" s="336"/>
    </row>
    <row r="55" spans="1:10" x14ac:dyDescent="0.2">
      <c r="A55" s="134" t="s">
        <v>1335</v>
      </c>
      <c r="B55" s="134"/>
      <c r="C55" s="134"/>
      <c r="D55" s="134"/>
      <c r="E55" s="134"/>
      <c r="F55" s="134"/>
      <c r="G55" s="134"/>
      <c r="H55" s="134"/>
      <c r="I55" s="336">
        <v>-136781.63</v>
      </c>
      <c r="J55" s="336"/>
    </row>
    <row r="56" spans="1:10" x14ac:dyDescent="0.2">
      <c r="A56" s="231" t="s">
        <v>1486</v>
      </c>
      <c r="B56" s="231"/>
      <c r="C56" s="231"/>
      <c r="D56" s="231"/>
      <c r="E56" s="231"/>
      <c r="F56" s="231"/>
      <c r="G56" s="231"/>
      <c r="H56" s="231"/>
      <c r="I56" s="333">
        <v>-330000</v>
      </c>
      <c r="J56" s="333"/>
    </row>
    <row r="57" spans="1:10" x14ac:dyDescent="0.2">
      <c r="A57" s="231" t="s">
        <v>1488</v>
      </c>
      <c r="B57" s="231"/>
      <c r="C57" s="231"/>
      <c r="D57" s="231"/>
      <c r="E57" s="231"/>
      <c r="F57" s="231"/>
      <c r="G57" s="231"/>
      <c r="H57" s="231"/>
      <c r="I57" s="333">
        <v>-173544</v>
      </c>
      <c r="J57" s="333"/>
    </row>
    <row r="58" spans="1:10" x14ac:dyDescent="0.2">
      <c r="A58" s="134" t="s">
        <v>1516</v>
      </c>
      <c r="B58" s="134"/>
      <c r="C58" s="134"/>
      <c r="D58" s="134"/>
      <c r="E58" s="134"/>
      <c r="F58" s="134"/>
      <c r="G58" s="134"/>
      <c r="H58" s="134"/>
      <c r="I58" s="336">
        <v>-156611.43</v>
      </c>
      <c r="J58" s="336"/>
    </row>
    <row r="59" spans="1:10" x14ac:dyDescent="0.2">
      <c r="A59" s="134" t="s">
        <v>1629</v>
      </c>
      <c r="B59" s="134"/>
      <c r="C59" s="134"/>
      <c r="D59" s="134"/>
      <c r="E59" s="134"/>
      <c r="F59" s="134"/>
      <c r="G59" s="134"/>
      <c r="H59" s="134"/>
      <c r="I59" s="333">
        <v>-214747.5</v>
      </c>
      <c r="J59" s="333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5"/>
      <c r="J60" s="115"/>
    </row>
    <row r="61" spans="1:10" ht="13.5" thickBot="1" x14ac:dyDescent="0.25">
      <c r="A61" s="144" t="s">
        <v>50</v>
      </c>
      <c r="B61" s="144"/>
      <c r="C61" s="144"/>
      <c r="D61" s="144"/>
      <c r="E61" s="144"/>
      <c r="F61" s="144"/>
      <c r="G61" s="144"/>
      <c r="H61" s="144"/>
      <c r="I61" s="335">
        <f>-I46</f>
        <v>-853820.81</v>
      </c>
      <c r="J61" s="335"/>
    </row>
    <row r="62" spans="1:10" ht="13.5" thickTop="1" x14ac:dyDescent="0.2">
      <c r="H62" s="18" t="s">
        <v>33</v>
      </c>
      <c r="I62" s="337">
        <f>I49+I50+I51+I52+I53+I54+I55+I56+I57+I58+I59</f>
        <v>670086.74600000004</v>
      </c>
      <c r="J62" s="338"/>
    </row>
    <row r="64" spans="1:10" ht="15" x14ac:dyDescent="0.25">
      <c r="A64" s="131" t="s">
        <v>51</v>
      </c>
      <c r="B64" s="132"/>
      <c r="C64" s="132"/>
      <c r="D64" s="132"/>
      <c r="E64" s="132"/>
      <c r="F64" s="132"/>
      <c r="G64" s="132"/>
      <c r="H64" s="132"/>
      <c r="I64" s="132"/>
      <c r="J64" s="133"/>
    </row>
    <row r="65" spans="1:10" x14ac:dyDescent="0.2">
      <c r="A65" s="139" t="s">
        <v>507</v>
      </c>
      <c r="B65" s="139"/>
      <c r="C65" s="139"/>
      <c r="D65" s="139"/>
      <c r="E65" s="139"/>
      <c r="F65" s="139"/>
      <c r="G65" s="139"/>
      <c r="H65" s="139"/>
      <c r="I65" s="139"/>
      <c r="J65" s="139"/>
    </row>
    <row r="66" spans="1:10" x14ac:dyDescent="0.2">
      <c r="A66" s="139"/>
      <c r="B66" s="139"/>
      <c r="C66" s="139"/>
      <c r="D66" s="139"/>
      <c r="E66" s="139"/>
      <c r="F66" s="139"/>
      <c r="G66" s="139"/>
      <c r="H66" s="139"/>
      <c r="I66" s="139"/>
      <c r="J66" s="139"/>
    </row>
    <row r="67" spans="1:10" x14ac:dyDescent="0.2">
      <c r="A67" s="139"/>
      <c r="B67" s="139"/>
      <c r="C67" s="139"/>
      <c r="D67" s="139"/>
      <c r="E67" s="139"/>
      <c r="F67" s="139"/>
      <c r="G67" s="139"/>
      <c r="H67" s="139"/>
      <c r="I67" s="139"/>
      <c r="J67" s="139"/>
    </row>
    <row r="68" spans="1:10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</row>
    <row r="69" spans="1:10" x14ac:dyDescent="0.2">
      <c r="A69" s="139"/>
      <c r="B69" s="139"/>
      <c r="C69" s="139"/>
      <c r="D69" s="139"/>
      <c r="E69" s="139"/>
      <c r="F69" s="139"/>
      <c r="G69" s="139"/>
      <c r="H69" s="139"/>
      <c r="I69" s="139"/>
      <c r="J69" s="139"/>
    </row>
    <row r="70" spans="1:10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</row>
  </sheetData>
  <mergeCells count="166">
    <mergeCell ref="A58:H58"/>
    <mergeCell ref="I58:J58"/>
    <mergeCell ref="A59:H59"/>
    <mergeCell ref="I59:J59"/>
    <mergeCell ref="A57:H57"/>
    <mergeCell ref="I57:J57"/>
    <mergeCell ref="I37:J37"/>
    <mergeCell ref="I52:J52"/>
    <mergeCell ref="B20:C20"/>
    <mergeCell ref="D20:E20"/>
    <mergeCell ref="G20:H20"/>
    <mergeCell ref="B22:C22"/>
    <mergeCell ref="D22:E22"/>
    <mergeCell ref="G22:H22"/>
    <mergeCell ref="B21:C21"/>
    <mergeCell ref="D21:E21"/>
    <mergeCell ref="B24:C24"/>
    <mergeCell ref="D24:E24"/>
    <mergeCell ref="G24:H24"/>
    <mergeCell ref="B23:C23"/>
    <mergeCell ref="D23:E23"/>
    <mergeCell ref="G23:H23"/>
    <mergeCell ref="A27:J27"/>
    <mergeCell ref="A28:A29"/>
    <mergeCell ref="A3:J3"/>
    <mergeCell ref="A4:A5"/>
    <mergeCell ref="B4:E4"/>
    <mergeCell ref="F4:F5"/>
    <mergeCell ref="G4:H5"/>
    <mergeCell ref="B13:C13"/>
    <mergeCell ref="D13:E13"/>
    <mergeCell ref="G13:H13"/>
    <mergeCell ref="B5:C5"/>
    <mergeCell ref="D5:E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I28:J29"/>
    <mergeCell ref="E33:F33"/>
    <mergeCell ref="B31:C31"/>
    <mergeCell ref="E31:F31"/>
    <mergeCell ref="G31:H31"/>
    <mergeCell ref="I31:J31"/>
    <mergeCell ref="B30:C30"/>
    <mergeCell ref="E30:F30"/>
    <mergeCell ref="G30:H30"/>
    <mergeCell ref="I30:J30"/>
    <mergeCell ref="B28:C29"/>
    <mergeCell ref="D28:D29"/>
    <mergeCell ref="E28:F29"/>
    <mergeCell ref="G28:H29"/>
    <mergeCell ref="B17:C17"/>
    <mergeCell ref="D17:E17"/>
    <mergeCell ref="G17:H17"/>
    <mergeCell ref="B16:C16"/>
    <mergeCell ref="D16:E16"/>
    <mergeCell ref="G16:H16"/>
    <mergeCell ref="A65:J70"/>
    <mergeCell ref="A50:H50"/>
    <mergeCell ref="I50:J50"/>
    <mergeCell ref="A61:H61"/>
    <mergeCell ref="I61:J61"/>
    <mergeCell ref="G36:H36"/>
    <mergeCell ref="I36:J36"/>
    <mergeCell ref="B37:C37"/>
    <mergeCell ref="E37:F37"/>
    <mergeCell ref="G37:H37"/>
    <mergeCell ref="I45:J45"/>
    <mergeCell ref="A54:H54"/>
    <mergeCell ref="I54:J54"/>
    <mergeCell ref="I62:J62"/>
    <mergeCell ref="I46:J46"/>
    <mergeCell ref="I48:J48"/>
    <mergeCell ref="A55:H55"/>
    <mergeCell ref="I55:J55"/>
    <mergeCell ref="A51:H51"/>
    <mergeCell ref="I51:J51"/>
    <mergeCell ref="A53:H53"/>
    <mergeCell ref="I53:J53"/>
    <mergeCell ref="A52:H52"/>
    <mergeCell ref="A64:J64"/>
    <mergeCell ref="B12:C12"/>
    <mergeCell ref="D12:E12"/>
    <mergeCell ref="G12:H12"/>
    <mergeCell ref="G40:H40"/>
    <mergeCell ref="I40:J40"/>
    <mergeCell ref="B44:C44"/>
    <mergeCell ref="I4:I5"/>
    <mergeCell ref="J4:J5"/>
    <mergeCell ref="B38:C38"/>
    <mergeCell ref="E38:F38"/>
    <mergeCell ref="G38:H38"/>
    <mergeCell ref="E39:F39"/>
    <mergeCell ref="G39:H39"/>
    <mergeCell ref="B35:C35"/>
    <mergeCell ref="E35:F35"/>
    <mergeCell ref="G35:H35"/>
    <mergeCell ref="E44:F44"/>
    <mergeCell ref="G44:H44"/>
    <mergeCell ref="I39:J39"/>
    <mergeCell ref="B40:C40"/>
    <mergeCell ref="E40:F40"/>
    <mergeCell ref="G41:H41"/>
    <mergeCell ref="I41:J41"/>
    <mergeCell ref="B41:C41"/>
    <mergeCell ref="A56:H56"/>
    <mergeCell ref="I56:J56"/>
    <mergeCell ref="B18:C18"/>
    <mergeCell ref="D18:E18"/>
    <mergeCell ref="G18:H18"/>
    <mergeCell ref="B19:C19"/>
    <mergeCell ref="D19:E19"/>
    <mergeCell ref="G19:H19"/>
    <mergeCell ref="I42:J42"/>
    <mergeCell ref="B43:C43"/>
    <mergeCell ref="I38:J38"/>
    <mergeCell ref="G33:H33"/>
    <mergeCell ref="I33:J33"/>
    <mergeCell ref="B36:C36"/>
    <mergeCell ref="E36:F36"/>
    <mergeCell ref="A49:H49"/>
    <mergeCell ref="I43:J43"/>
    <mergeCell ref="B45:C45"/>
    <mergeCell ref="E45:F45"/>
    <mergeCell ref="G45:H45"/>
    <mergeCell ref="E41:F41"/>
    <mergeCell ref="B42:C42"/>
    <mergeCell ref="E42:F42"/>
    <mergeCell ref="G42:H42"/>
    <mergeCell ref="I49:J49"/>
    <mergeCell ref="I44:J44"/>
    <mergeCell ref="B14:C14"/>
    <mergeCell ref="D14:E14"/>
    <mergeCell ref="G14:H14"/>
    <mergeCell ref="B15:C15"/>
    <mergeCell ref="D15:E15"/>
    <mergeCell ref="G15:H15"/>
    <mergeCell ref="B39:C39"/>
    <mergeCell ref="E43:F43"/>
    <mergeCell ref="G43:H43"/>
    <mergeCell ref="I35:J35"/>
    <mergeCell ref="B34:C34"/>
    <mergeCell ref="E34:F34"/>
    <mergeCell ref="G34:H34"/>
    <mergeCell ref="I34:J34"/>
    <mergeCell ref="B32:C32"/>
    <mergeCell ref="E32:F32"/>
    <mergeCell ref="G32:H32"/>
    <mergeCell ref="I32:J32"/>
    <mergeCell ref="B33:C33"/>
    <mergeCell ref="G21:H21"/>
  </mergeCells>
  <phoneticPr fontId="6" type="noConversion"/>
  <pageMargins left="0.75" right="0.75" top="1" bottom="1" header="0.5" footer="0.5"/>
  <pageSetup scale="8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37">
    <pageSetUpPr fitToPage="1"/>
  </sheetPr>
  <dimension ref="A1:K86"/>
  <sheetViews>
    <sheetView topLeftCell="A24" workbookViewId="0">
      <selection activeCell="J39" sqref="J39"/>
    </sheetView>
  </sheetViews>
  <sheetFormatPr defaultRowHeight="12.75" x14ac:dyDescent="0.2"/>
  <cols>
    <col min="6" max="6" width="12.28515625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510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4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1" x14ac:dyDescent="0.2">
      <c r="A6" s="9">
        <v>1</v>
      </c>
      <c r="B6" s="128">
        <v>5534119</v>
      </c>
      <c r="C6" s="128"/>
      <c r="D6" s="128">
        <v>5534127</v>
      </c>
      <c r="E6" s="128"/>
      <c r="F6" s="12">
        <v>34169</v>
      </c>
      <c r="G6" s="169" t="s">
        <v>511</v>
      </c>
      <c r="H6" s="169"/>
      <c r="I6" s="39">
        <v>331013.26</v>
      </c>
      <c r="J6" s="32">
        <f t="shared" ref="J6:J13" si="0">I6*0.8</f>
        <v>264810.60800000001</v>
      </c>
    </row>
    <row r="7" spans="1:11" x14ac:dyDescent="0.2">
      <c r="A7" s="9">
        <v>2</v>
      </c>
      <c r="B7" s="128">
        <v>5534860</v>
      </c>
      <c r="C7" s="128"/>
      <c r="D7" s="128"/>
      <c r="E7" s="128"/>
      <c r="F7" s="12">
        <v>35314</v>
      </c>
      <c r="G7" s="169" t="s">
        <v>512</v>
      </c>
      <c r="H7" s="169"/>
      <c r="I7" s="39">
        <v>265215.95</v>
      </c>
      <c r="J7" s="32">
        <f t="shared" si="0"/>
        <v>212172.76</v>
      </c>
    </row>
    <row r="8" spans="1:11" x14ac:dyDescent="0.2">
      <c r="A8" s="9">
        <v>3</v>
      </c>
      <c r="B8" s="128">
        <v>5535069</v>
      </c>
      <c r="C8" s="128"/>
      <c r="D8" s="128"/>
      <c r="E8" s="128"/>
      <c r="F8" s="12">
        <v>35565</v>
      </c>
      <c r="G8" s="169" t="s">
        <v>513</v>
      </c>
      <c r="H8" s="169"/>
      <c r="I8" s="39">
        <v>212000</v>
      </c>
      <c r="J8" s="32">
        <f t="shared" si="0"/>
        <v>169600</v>
      </c>
      <c r="K8" s="107">
        <f>J6+J7+J8</f>
        <v>646583.36800000002</v>
      </c>
    </row>
    <row r="9" spans="1:11" x14ac:dyDescent="0.2">
      <c r="A9" s="9">
        <v>4</v>
      </c>
      <c r="B9" s="128">
        <v>5530091</v>
      </c>
      <c r="C9" s="128"/>
      <c r="D9" s="128">
        <v>5530083</v>
      </c>
      <c r="E9" s="128"/>
      <c r="F9" s="12">
        <v>40168</v>
      </c>
      <c r="G9" s="169"/>
      <c r="H9" s="169"/>
      <c r="I9" s="39">
        <v>92809.24</v>
      </c>
      <c r="J9" s="32">
        <f t="shared" si="0"/>
        <v>74247.392000000007</v>
      </c>
    </row>
    <row r="10" spans="1:11" x14ac:dyDescent="0.2">
      <c r="A10" s="9">
        <v>5</v>
      </c>
      <c r="B10" s="128">
        <v>5531691</v>
      </c>
      <c r="C10" s="128"/>
      <c r="D10" s="128">
        <v>5531683</v>
      </c>
      <c r="E10" s="128"/>
      <c r="F10" s="12">
        <v>40421</v>
      </c>
      <c r="G10" s="169"/>
      <c r="H10" s="169"/>
      <c r="I10" s="39">
        <v>246105.78</v>
      </c>
      <c r="J10" s="32">
        <f t="shared" si="0"/>
        <v>196884.62400000001</v>
      </c>
    </row>
    <row r="11" spans="1:11" x14ac:dyDescent="0.2">
      <c r="A11" s="9">
        <v>6</v>
      </c>
      <c r="B11" s="128">
        <v>5535662</v>
      </c>
      <c r="C11" s="128"/>
      <c r="D11" s="128">
        <v>5535646</v>
      </c>
      <c r="E11" s="128"/>
      <c r="F11" s="12">
        <v>40554</v>
      </c>
      <c r="G11" s="169"/>
      <c r="H11" s="169"/>
      <c r="I11" s="39">
        <v>105959.45</v>
      </c>
      <c r="J11" s="32">
        <f t="shared" si="0"/>
        <v>84767.56</v>
      </c>
    </row>
    <row r="12" spans="1:11" x14ac:dyDescent="0.2">
      <c r="A12" s="9">
        <v>7</v>
      </c>
      <c r="B12" s="128">
        <v>5532574</v>
      </c>
      <c r="C12" s="128"/>
      <c r="D12" s="128">
        <v>5532566</v>
      </c>
      <c r="E12" s="128"/>
      <c r="F12" s="12">
        <v>40792</v>
      </c>
      <c r="G12" s="169"/>
      <c r="H12" s="169"/>
      <c r="I12" s="39">
        <v>212179.81</v>
      </c>
      <c r="J12" s="32">
        <f t="shared" si="0"/>
        <v>169743.848</v>
      </c>
    </row>
    <row r="13" spans="1:11" x14ac:dyDescent="0.2">
      <c r="A13" s="9">
        <v>8</v>
      </c>
      <c r="B13" s="128">
        <v>5534852</v>
      </c>
      <c r="C13" s="128"/>
      <c r="D13" s="128">
        <v>5534801</v>
      </c>
      <c r="E13" s="128"/>
      <c r="F13" s="12">
        <v>40941</v>
      </c>
      <c r="G13" s="169"/>
      <c r="H13" s="169"/>
      <c r="I13" s="39">
        <v>83156</v>
      </c>
      <c r="J13" s="32">
        <f t="shared" si="0"/>
        <v>66524.800000000003</v>
      </c>
    </row>
    <row r="14" spans="1:11" x14ac:dyDescent="0.2">
      <c r="A14" s="9">
        <v>9</v>
      </c>
      <c r="B14" s="192">
        <v>5530237</v>
      </c>
      <c r="C14" s="204"/>
      <c r="D14" s="192">
        <v>5530253</v>
      </c>
      <c r="E14" s="204"/>
      <c r="F14" s="12">
        <v>40987</v>
      </c>
      <c r="G14" s="179"/>
      <c r="H14" s="181"/>
      <c r="I14" s="39">
        <v>99709.94</v>
      </c>
      <c r="J14" s="32">
        <f t="shared" ref="J14:J39" si="1">I14*0.8</f>
        <v>79767.952000000005</v>
      </c>
    </row>
    <row r="15" spans="1:11" x14ac:dyDescent="0.2">
      <c r="A15" s="9">
        <v>10</v>
      </c>
      <c r="B15" s="192">
        <v>5531810</v>
      </c>
      <c r="C15" s="204"/>
      <c r="D15" s="192">
        <v>5531829</v>
      </c>
      <c r="E15" s="204"/>
      <c r="F15" s="12">
        <v>41221</v>
      </c>
      <c r="G15" s="179"/>
      <c r="H15" s="181"/>
      <c r="I15" s="39">
        <v>302151.8</v>
      </c>
      <c r="J15" s="32">
        <f t="shared" si="1"/>
        <v>241721.44</v>
      </c>
    </row>
    <row r="16" spans="1:11" x14ac:dyDescent="0.2">
      <c r="A16" s="9">
        <v>11</v>
      </c>
      <c r="B16" s="192">
        <v>5530369</v>
      </c>
      <c r="C16" s="204"/>
      <c r="D16" s="192">
        <v>5530326</v>
      </c>
      <c r="E16" s="204"/>
      <c r="F16" s="12">
        <v>41221</v>
      </c>
      <c r="G16" s="179"/>
      <c r="H16" s="181"/>
      <c r="I16" s="39">
        <v>67056.179999999993</v>
      </c>
      <c r="J16" s="32">
        <f t="shared" si="1"/>
        <v>53644.943999999996</v>
      </c>
    </row>
    <row r="17" spans="1:10" x14ac:dyDescent="0.2">
      <c r="A17" s="9">
        <v>12</v>
      </c>
      <c r="B17" s="128">
        <v>5530822</v>
      </c>
      <c r="C17" s="128"/>
      <c r="D17" s="128">
        <v>5530717</v>
      </c>
      <c r="E17" s="128"/>
      <c r="F17" s="12">
        <v>41221</v>
      </c>
      <c r="G17" s="169"/>
      <c r="H17" s="169"/>
      <c r="I17" s="39">
        <v>88957.15</v>
      </c>
      <c r="J17" s="32">
        <f t="shared" si="1"/>
        <v>71165.72</v>
      </c>
    </row>
    <row r="18" spans="1:10" x14ac:dyDescent="0.2">
      <c r="A18" s="9">
        <v>13</v>
      </c>
      <c r="B18" s="128">
        <v>5535581</v>
      </c>
      <c r="C18" s="128"/>
      <c r="D18" s="128">
        <v>5535611</v>
      </c>
      <c r="E18" s="128"/>
      <c r="F18" s="12">
        <v>41359</v>
      </c>
      <c r="G18" s="169"/>
      <c r="H18" s="169"/>
      <c r="I18" s="39">
        <v>119648.29</v>
      </c>
      <c r="J18" s="32">
        <f t="shared" si="1"/>
        <v>95718.631999999998</v>
      </c>
    </row>
    <row r="19" spans="1:10" x14ac:dyDescent="0.2">
      <c r="A19" s="9">
        <v>14</v>
      </c>
      <c r="B19" s="128">
        <v>5530504</v>
      </c>
      <c r="C19" s="128"/>
      <c r="D19" s="128">
        <v>5530490</v>
      </c>
      <c r="E19" s="128"/>
      <c r="F19" s="12">
        <v>41752</v>
      </c>
      <c r="G19" s="169"/>
      <c r="H19" s="169"/>
      <c r="I19" s="39">
        <v>138933.04999999999</v>
      </c>
      <c r="J19" s="32">
        <f t="shared" si="1"/>
        <v>111146.44</v>
      </c>
    </row>
    <row r="20" spans="1:10" x14ac:dyDescent="0.2">
      <c r="A20" s="9">
        <v>15</v>
      </c>
      <c r="B20" s="128">
        <v>5536545</v>
      </c>
      <c r="C20" s="128"/>
      <c r="D20" s="128">
        <v>5536553</v>
      </c>
      <c r="E20" s="128"/>
      <c r="F20" s="12">
        <v>41752</v>
      </c>
      <c r="G20" s="169"/>
      <c r="H20" s="169"/>
      <c r="I20" s="39">
        <v>88261.8</v>
      </c>
      <c r="J20" s="32">
        <f t="shared" si="1"/>
        <v>70609.440000000002</v>
      </c>
    </row>
    <row r="21" spans="1:10" x14ac:dyDescent="0.2">
      <c r="A21" s="9">
        <v>16</v>
      </c>
      <c r="B21" s="128">
        <v>5534666</v>
      </c>
      <c r="C21" s="128"/>
      <c r="D21" s="128">
        <v>5530000</v>
      </c>
      <c r="E21" s="128"/>
      <c r="F21" s="12">
        <v>42033</v>
      </c>
      <c r="G21" s="169"/>
      <c r="H21" s="169"/>
      <c r="I21" s="39">
        <v>268989.2</v>
      </c>
      <c r="J21" s="32">
        <f t="shared" si="1"/>
        <v>215191.36000000002</v>
      </c>
    </row>
    <row r="22" spans="1:10" x14ac:dyDescent="0.2">
      <c r="A22" s="9">
        <v>17</v>
      </c>
      <c r="B22" s="128">
        <v>5536154</v>
      </c>
      <c r="C22" s="128"/>
      <c r="D22" s="128">
        <v>5530003</v>
      </c>
      <c r="E22" s="128"/>
      <c r="F22" s="12">
        <v>42129</v>
      </c>
      <c r="G22" s="169"/>
      <c r="H22" s="169"/>
      <c r="I22" s="39">
        <v>162893.03</v>
      </c>
      <c r="J22" s="32">
        <f t="shared" si="1"/>
        <v>130314.424</v>
      </c>
    </row>
    <row r="23" spans="1:10" x14ac:dyDescent="0.2">
      <c r="A23" s="9">
        <v>18</v>
      </c>
      <c r="B23" s="128">
        <v>5535433</v>
      </c>
      <c r="C23" s="128"/>
      <c r="D23" s="128">
        <v>5535417</v>
      </c>
      <c r="E23" s="128"/>
      <c r="F23" s="12">
        <v>42424</v>
      </c>
      <c r="G23" s="169"/>
      <c r="H23" s="169"/>
      <c r="I23" s="39">
        <v>111108.64</v>
      </c>
      <c r="J23" s="32">
        <f t="shared" si="1"/>
        <v>88886.912000000011</v>
      </c>
    </row>
    <row r="24" spans="1:10" x14ac:dyDescent="0.2">
      <c r="A24" s="9">
        <v>19</v>
      </c>
      <c r="B24" s="128">
        <v>5531403</v>
      </c>
      <c r="C24" s="128"/>
      <c r="D24" s="128">
        <v>5531462</v>
      </c>
      <c r="E24" s="128"/>
      <c r="F24" s="12">
        <v>42912</v>
      </c>
      <c r="G24" s="169"/>
      <c r="H24" s="169"/>
      <c r="I24" s="39">
        <v>185389.31</v>
      </c>
      <c r="J24" s="32">
        <f t="shared" si="1"/>
        <v>148311.448</v>
      </c>
    </row>
    <row r="25" spans="1:10" x14ac:dyDescent="0.2">
      <c r="A25" s="9">
        <v>20</v>
      </c>
      <c r="B25" s="128">
        <v>5532736</v>
      </c>
      <c r="C25" s="128"/>
      <c r="D25" s="128">
        <v>5532787</v>
      </c>
      <c r="E25" s="128"/>
      <c r="F25" s="12">
        <v>43249</v>
      </c>
      <c r="G25" s="169"/>
      <c r="H25" s="169"/>
      <c r="I25" s="39">
        <v>246649.64</v>
      </c>
      <c r="J25" s="32">
        <f t="shared" si="1"/>
        <v>197319.71200000003</v>
      </c>
    </row>
    <row r="26" spans="1:10" x14ac:dyDescent="0.2">
      <c r="A26" s="9">
        <v>21</v>
      </c>
      <c r="B26" s="128">
        <v>5531497</v>
      </c>
      <c r="C26" s="128"/>
      <c r="D26" s="128">
        <v>5531500</v>
      </c>
      <c r="E26" s="128"/>
      <c r="F26" s="12">
        <v>43452</v>
      </c>
      <c r="G26" s="169"/>
      <c r="H26" s="169"/>
      <c r="I26" s="39">
        <v>102674.98</v>
      </c>
      <c r="J26" s="32">
        <f t="shared" si="1"/>
        <v>82139.983999999997</v>
      </c>
    </row>
    <row r="27" spans="1:10" x14ac:dyDescent="0.2">
      <c r="A27" s="9">
        <v>22</v>
      </c>
      <c r="B27" s="128">
        <v>5533546</v>
      </c>
      <c r="C27" s="128"/>
      <c r="D27" s="128">
        <v>5533538</v>
      </c>
      <c r="E27" s="128"/>
      <c r="F27" s="12">
        <v>43452</v>
      </c>
      <c r="G27" s="169"/>
      <c r="H27" s="169"/>
      <c r="I27" s="39">
        <v>237085</v>
      </c>
      <c r="J27" s="32">
        <f t="shared" si="1"/>
        <v>189668</v>
      </c>
    </row>
    <row r="28" spans="1:10" x14ac:dyDescent="0.2">
      <c r="A28" s="9">
        <v>23</v>
      </c>
      <c r="B28" s="128">
        <v>5535514</v>
      </c>
      <c r="C28" s="128"/>
      <c r="D28" s="128">
        <v>5535522</v>
      </c>
      <c r="E28" s="128"/>
      <c r="F28" s="12">
        <v>43525</v>
      </c>
      <c r="G28" s="169"/>
      <c r="H28" s="169"/>
      <c r="I28" s="39">
        <v>132804.32999999999</v>
      </c>
      <c r="J28" s="32">
        <f t="shared" si="1"/>
        <v>106243.46399999999</v>
      </c>
    </row>
    <row r="29" spans="1:10" x14ac:dyDescent="0.2">
      <c r="A29" s="9">
        <v>24</v>
      </c>
      <c r="B29" s="128">
        <v>5532159</v>
      </c>
      <c r="C29" s="128"/>
      <c r="D29" s="128">
        <v>5532256</v>
      </c>
      <c r="E29" s="128"/>
      <c r="F29" s="12">
        <v>43775</v>
      </c>
      <c r="G29" s="169"/>
      <c r="H29" s="169"/>
      <c r="I29" s="39">
        <v>131898.1</v>
      </c>
      <c r="J29" s="32">
        <f t="shared" si="1"/>
        <v>105518.48000000001</v>
      </c>
    </row>
    <row r="30" spans="1:10" x14ac:dyDescent="0.2">
      <c r="A30" s="9">
        <v>25</v>
      </c>
      <c r="B30" s="128">
        <v>5536391</v>
      </c>
      <c r="C30" s="128"/>
      <c r="D30" s="128">
        <v>5536392</v>
      </c>
      <c r="E30" s="128"/>
      <c r="F30" s="12">
        <v>43895</v>
      </c>
      <c r="G30" s="169"/>
      <c r="H30" s="169"/>
      <c r="I30" s="39">
        <v>104351.85</v>
      </c>
      <c r="J30" s="32">
        <f t="shared" si="1"/>
        <v>83481.48000000001</v>
      </c>
    </row>
    <row r="31" spans="1:10" x14ac:dyDescent="0.2">
      <c r="A31" s="9">
        <v>26</v>
      </c>
      <c r="B31" s="128">
        <v>5536855</v>
      </c>
      <c r="C31" s="128"/>
      <c r="D31" s="128">
        <v>5536856</v>
      </c>
      <c r="E31" s="128"/>
      <c r="F31" s="12">
        <v>44210</v>
      </c>
      <c r="G31" s="261" t="s">
        <v>1438</v>
      </c>
      <c r="H31" s="169"/>
      <c r="I31" s="39">
        <v>180359.4</v>
      </c>
      <c r="J31" s="32">
        <f t="shared" si="1"/>
        <v>144287.51999999999</v>
      </c>
    </row>
    <row r="32" spans="1:10" x14ac:dyDescent="0.2">
      <c r="A32" s="9">
        <v>27</v>
      </c>
      <c r="B32" s="128">
        <v>5532531</v>
      </c>
      <c r="C32" s="128"/>
      <c r="D32" s="128">
        <v>5532532</v>
      </c>
      <c r="E32" s="128"/>
      <c r="F32" s="12">
        <v>44237</v>
      </c>
      <c r="G32" s="261" t="s">
        <v>1449</v>
      </c>
      <c r="H32" s="169"/>
      <c r="I32" s="39">
        <v>215311.9</v>
      </c>
      <c r="J32" s="32">
        <f t="shared" si="1"/>
        <v>172249.52000000002</v>
      </c>
    </row>
    <row r="33" spans="1:10" x14ac:dyDescent="0.2">
      <c r="A33" s="9">
        <v>28</v>
      </c>
      <c r="B33" s="128">
        <v>5535999</v>
      </c>
      <c r="C33" s="128"/>
      <c r="D33" s="128">
        <v>5536000</v>
      </c>
      <c r="E33" s="128"/>
      <c r="F33" s="12">
        <v>44305</v>
      </c>
      <c r="G33" s="255" t="s">
        <v>1455</v>
      </c>
      <c r="H33" s="169"/>
      <c r="I33" s="39">
        <v>446521.9</v>
      </c>
      <c r="J33" s="32">
        <f t="shared" si="1"/>
        <v>357217.52</v>
      </c>
    </row>
    <row r="34" spans="1:10" x14ac:dyDescent="0.2">
      <c r="A34" s="9">
        <v>29</v>
      </c>
      <c r="B34" s="128">
        <v>5533929</v>
      </c>
      <c r="C34" s="128"/>
      <c r="D34" s="128">
        <v>5533930</v>
      </c>
      <c r="E34" s="128"/>
      <c r="F34" s="12">
        <v>44307</v>
      </c>
      <c r="G34" s="255" t="s">
        <v>1458</v>
      </c>
      <c r="H34" s="169"/>
      <c r="I34" s="39">
        <v>118312.8</v>
      </c>
      <c r="J34" s="32">
        <f t="shared" si="1"/>
        <v>94650.240000000005</v>
      </c>
    </row>
    <row r="35" spans="1:10" x14ac:dyDescent="0.2">
      <c r="A35" s="9">
        <v>30</v>
      </c>
      <c r="B35" s="128">
        <v>5535166</v>
      </c>
      <c r="C35" s="128"/>
      <c r="D35" s="128">
        <v>5535167</v>
      </c>
      <c r="E35" s="128"/>
      <c r="F35" s="12">
        <v>44518</v>
      </c>
      <c r="G35" s="169" t="s">
        <v>1489</v>
      </c>
      <c r="H35" s="169"/>
      <c r="I35" s="39">
        <v>567758.80000000005</v>
      </c>
      <c r="J35" s="32">
        <f t="shared" si="1"/>
        <v>454207.04000000004</v>
      </c>
    </row>
    <row r="36" spans="1:10" x14ac:dyDescent="0.2">
      <c r="A36" s="9">
        <v>31</v>
      </c>
      <c r="B36" s="128">
        <v>5533783</v>
      </c>
      <c r="C36" s="128"/>
      <c r="D36" s="128">
        <v>5533784</v>
      </c>
      <c r="E36" s="128"/>
      <c r="F36" s="12">
        <v>44994</v>
      </c>
      <c r="G36" s="169" t="s">
        <v>1613</v>
      </c>
      <c r="H36" s="169"/>
      <c r="I36" s="39">
        <v>408979.36</v>
      </c>
      <c r="J36" s="32">
        <f t="shared" si="1"/>
        <v>327183.48800000001</v>
      </c>
    </row>
    <row r="37" spans="1:10" x14ac:dyDescent="0.2">
      <c r="A37" s="9">
        <v>32</v>
      </c>
      <c r="B37" s="128">
        <v>5533333</v>
      </c>
      <c r="C37" s="128"/>
      <c r="D37" s="128">
        <v>5533334</v>
      </c>
      <c r="E37" s="128"/>
      <c r="F37" s="12">
        <v>45012</v>
      </c>
      <c r="G37" s="169" t="s">
        <v>1615</v>
      </c>
      <c r="H37" s="169"/>
      <c r="I37" s="39">
        <v>506735.35999999999</v>
      </c>
      <c r="J37" s="32">
        <f t="shared" si="1"/>
        <v>405388.288</v>
      </c>
    </row>
    <row r="38" spans="1:10" x14ac:dyDescent="0.2">
      <c r="A38" s="9">
        <v>33</v>
      </c>
      <c r="B38" s="128">
        <v>5530903</v>
      </c>
      <c r="C38" s="128"/>
      <c r="D38" s="128">
        <v>5530904</v>
      </c>
      <c r="E38" s="128"/>
      <c r="F38" s="12">
        <v>45140</v>
      </c>
      <c r="G38" s="169" t="s">
        <v>1638</v>
      </c>
      <c r="H38" s="169"/>
      <c r="I38" s="39">
        <v>539101.23</v>
      </c>
      <c r="J38" s="32">
        <f t="shared" si="1"/>
        <v>431280.984</v>
      </c>
    </row>
    <row r="39" spans="1:10" x14ac:dyDescent="0.2">
      <c r="A39" s="9">
        <v>34</v>
      </c>
      <c r="B39" s="128">
        <v>5530784</v>
      </c>
      <c r="C39" s="128"/>
      <c r="D39" s="128">
        <v>5530785</v>
      </c>
      <c r="E39" s="128"/>
      <c r="F39" s="12">
        <v>45243</v>
      </c>
      <c r="G39" s="169" t="s">
        <v>1651</v>
      </c>
      <c r="H39" s="169"/>
      <c r="I39" s="39">
        <v>484642.05</v>
      </c>
      <c r="J39" s="32">
        <f t="shared" si="1"/>
        <v>387713.64</v>
      </c>
    </row>
    <row r="40" spans="1:10" ht="13.5" thickBot="1" x14ac:dyDescent="0.25">
      <c r="A40" s="9"/>
      <c r="B40" s="128"/>
      <c r="C40" s="128"/>
      <c r="D40" s="128"/>
      <c r="E40" s="128"/>
      <c r="F40" s="12"/>
      <c r="G40" s="169"/>
      <c r="H40" s="169"/>
      <c r="I40" s="41"/>
      <c r="J40" s="55"/>
    </row>
    <row r="41" spans="1:10" ht="13.5" thickTop="1" x14ac:dyDescent="0.2">
      <c r="A41" s="13"/>
      <c r="B41" s="13"/>
      <c r="C41" s="13"/>
      <c r="D41" s="13"/>
      <c r="E41" s="13"/>
      <c r="F41" s="13"/>
      <c r="G41" s="13"/>
      <c r="H41" s="13" t="s">
        <v>33</v>
      </c>
      <c r="I41" s="43">
        <f>SUM(I6:I40)</f>
        <v>7604724.580000001</v>
      </c>
      <c r="J41" s="43">
        <f>SUM(J6:J40)</f>
        <v>6083779.6639999999</v>
      </c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131" t="s">
        <v>34</v>
      </c>
      <c r="B43" s="132"/>
      <c r="C43" s="132"/>
      <c r="D43" s="132"/>
      <c r="E43" s="132"/>
      <c r="F43" s="132"/>
      <c r="G43" s="132"/>
      <c r="H43" s="132"/>
      <c r="I43" s="132"/>
      <c r="J43" s="133"/>
    </row>
    <row r="44" spans="1:10" x14ac:dyDescent="0.2">
      <c r="A44" s="169" t="s">
        <v>23</v>
      </c>
      <c r="B44" s="169" t="s">
        <v>35</v>
      </c>
      <c r="C44" s="169"/>
      <c r="D44" s="169" t="s">
        <v>36</v>
      </c>
      <c r="E44" s="169" t="s">
        <v>37</v>
      </c>
      <c r="F44" s="169"/>
      <c r="G44" s="169" t="s">
        <v>38</v>
      </c>
      <c r="H44" s="169"/>
      <c r="I44" s="169" t="s">
        <v>39</v>
      </c>
      <c r="J44" s="169"/>
    </row>
    <row r="45" spans="1:10" x14ac:dyDescent="0.2">
      <c r="A45" s="169"/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x14ac:dyDescent="0.2">
      <c r="A46" s="9">
        <v>1</v>
      </c>
      <c r="B46" s="183" t="s">
        <v>514</v>
      </c>
      <c r="C46" s="128"/>
      <c r="D46" s="9">
        <v>12600</v>
      </c>
      <c r="E46" s="182">
        <v>36008</v>
      </c>
      <c r="F46" s="128"/>
      <c r="G46" s="183" t="s">
        <v>515</v>
      </c>
      <c r="H46" s="128"/>
      <c r="I46" s="136">
        <v>218219</v>
      </c>
      <c r="J46" s="136"/>
    </row>
    <row r="47" spans="1:10" x14ac:dyDescent="0.2">
      <c r="A47" s="9">
        <v>2</v>
      </c>
      <c r="B47" s="183" t="s">
        <v>516</v>
      </c>
      <c r="C47" s="128"/>
      <c r="D47" s="10">
        <v>7078</v>
      </c>
      <c r="E47" s="182">
        <v>36617</v>
      </c>
      <c r="F47" s="128"/>
      <c r="G47" s="128">
        <v>5507001</v>
      </c>
      <c r="H47" s="128"/>
      <c r="I47" s="136">
        <v>164955</v>
      </c>
      <c r="J47" s="136"/>
    </row>
    <row r="48" spans="1:10" x14ac:dyDescent="0.2">
      <c r="A48" s="9">
        <v>3</v>
      </c>
      <c r="B48" s="183" t="s">
        <v>517</v>
      </c>
      <c r="C48" s="128"/>
      <c r="D48" s="9">
        <v>13685</v>
      </c>
      <c r="E48" s="182">
        <v>36951</v>
      </c>
      <c r="F48" s="128"/>
      <c r="G48" s="183" t="s">
        <v>518</v>
      </c>
      <c r="H48" s="128"/>
      <c r="I48" s="136">
        <v>183606</v>
      </c>
      <c r="J48" s="136"/>
    </row>
    <row r="49" spans="1:11" x14ac:dyDescent="0.2">
      <c r="A49" s="9">
        <v>4</v>
      </c>
      <c r="B49" s="183" t="s">
        <v>519</v>
      </c>
      <c r="C49" s="128"/>
      <c r="D49" s="9">
        <v>15512</v>
      </c>
      <c r="E49" s="182">
        <v>36678</v>
      </c>
      <c r="F49" s="128"/>
      <c r="G49" s="183" t="s">
        <v>520</v>
      </c>
      <c r="H49" s="128"/>
      <c r="I49" s="136">
        <f>179866-100062.63</f>
        <v>79803.37</v>
      </c>
      <c r="J49" s="136"/>
    </row>
    <row r="50" spans="1:11" x14ac:dyDescent="0.2">
      <c r="A50" s="9">
        <v>5</v>
      </c>
      <c r="B50" s="192">
        <v>478142</v>
      </c>
      <c r="C50" s="204"/>
      <c r="D50" s="9">
        <v>75914</v>
      </c>
      <c r="E50" s="182">
        <v>40259</v>
      </c>
      <c r="F50" s="128"/>
      <c r="G50" s="128" t="s">
        <v>522</v>
      </c>
      <c r="H50" s="128"/>
      <c r="I50" s="136">
        <v>64892</v>
      </c>
      <c r="J50" s="136"/>
    </row>
    <row r="51" spans="1:11" x14ac:dyDescent="0.2">
      <c r="A51" s="9">
        <v>6</v>
      </c>
      <c r="B51" s="192"/>
      <c r="C51" s="204"/>
      <c r="D51" s="9">
        <v>81351</v>
      </c>
      <c r="E51" s="125">
        <v>40938</v>
      </c>
      <c r="F51" s="204"/>
      <c r="G51" s="192" t="s">
        <v>847</v>
      </c>
      <c r="H51" s="204"/>
      <c r="I51" s="194">
        <v>74247.39</v>
      </c>
      <c r="J51" s="195"/>
    </row>
    <row r="52" spans="1:11" x14ac:dyDescent="0.2">
      <c r="A52" s="19">
        <v>7</v>
      </c>
      <c r="B52" s="137">
        <v>478535</v>
      </c>
      <c r="C52" s="137"/>
      <c r="D52" s="19">
        <v>81032</v>
      </c>
      <c r="E52" s="196">
        <v>41962</v>
      </c>
      <c r="F52" s="137"/>
      <c r="G52" s="164" t="s">
        <v>950</v>
      </c>
      <c r="H52" s="228"/>
      <c r="I52" s="138">
        <v>500000</v>
      </c>
      <c r="J52" s="138"/>
    </row>
    <row r="53" spans="1:11" x14ac:dyDescent="0.2">
      <c r="A53" s="19">
        <v>7</v>
      </c>
      <c r="B53" s="137">
        <v>478535</v>
      </c>
      <c r="C53" s="137"/>
      <c r="D53" s="19">
        <v>81032</v>
      </c>
      <c r="E53" s="137" t="s">
        <v>842</v>
      </c>
      <c r="F53" s="137"/>
      <c r="G53" s="164" t="s">
        <v>1070</v>
      </c>
      <c r="H53" s="228"/>
      <c r="I53" s="138">
        <v>1615.8</v>
      </c>
      <c r="J53" s="138"/>
    </row>
    <row r="54" spans="1:11" x14ac:dyDescent="0.2">
      <c r="A54" s="9">
        <v>8</v>
      </c>
      <c r="B54" s="128"/>
      <c r="C54" s="128"/>
      <c r="D54" s="9">
        <v>87270</v>
      </c>
      <c r="E54" s="128" t="s">
        <v>864</v>
      </c>
      <c r="F54" s="128"/>
      <c r="G54" s="128"/>
      <c r="H54" s="128"/>
      <c r="I54" s="136">
        <v>20833.2</v>
      </c>
      <c r="J54" s="136"/>
    </row>
    <row r="55" spans="1:11" s="60" customFormat="1" x14ac:dyDescent="0.2">
      <c r="A55" s="19">
        <v>9</v>
      </c>
      <c r="B55" s="137">
        <v>478765</v>
      </c>
      <c r="C55" s="137"/>
      <c r="D55" s="19">
        <v>83325</v>
      </c>
      <c r="E55" s="196">
        <v>41191</v>
      </c>
      <c r="F55" s="137"/>
      <c r="G55" s="164" t="s">
        <v>955</v>
      </c>
      <c r="H55" s="228"/>
      <c r="I55" s="138">
        <v>85695.98</v>
      </c>
      <c r="J55" s="138"/>
    </row>
    <row r="56" spans="1:11" s="60" customFormat="1" x14ac:dyDescent="0.2">
      <c r="A56" s="19">
        <v>10</v>
      </c>
      <c r="B56" s="137"/>
      <c r="C56" s="137"/>
      <c r="D56" s="19">
        <v>83324</v>
      </c>
      <c r="E56" s="196">
        <v>41836</v>
      </c>
      <c r="F56" s="137"/>
      <c r="G56" s="137" t="s">
        <v>901</v>
      </c>
      <c r="H56" s="137"/>
      <c r="I56" s="138">
        <v>102634.26</v>
      </c>
      <c r="J56" s="138"/>
    </row>
    <row r="57" spans="1:11" x14ac:dyDescent="0.2">
      <c r="A57" s="19">
        <v>11</v>
      </c>
      <c r="B57" s="137"/>
      <c r="C57" s="137"/>
      <c r="D57" s="19">
        <v>83349</v>
      </c>
      <c r="E57" s="196">
        <v>41962</v>
      </c>
      <c r="F57" s="137"/>
      <c r="G57" s="137" t="s">
        <v>926</v>
      </c>
      <c r="H57" s="137"/>
      <c r="I57" s="138">
        <v>225782.65</v>
      </c>
      <c r="J57" s="138"/>
    </row>
    <row r="58" spans="1:11" x14ac:dyDescent="0.2">
      <c r="A58" s="19"/>
      <c r="B58" s="137"/>
      <c r="C58" s="137"/>
      <c r="D58" s="19">
        <v>93951</v>
      </c>
      <c r="E58" s="137"/>
      <c r="F58" s="137"/>
      <c r="G58" s="137" t="s">
        <v>1077</v>
      </c>
      <c r="H58" s="137"/>
      <c r="I58" s="138">
        <v>7236.67</v>
      </c>
      <c r="J58" s="138"/>
    </row>
    <row r="59" spans="1:11" x14ac:dyDescent="0.2">
      <c r="A59" s="19">
        <v>12</v>
      </c>
      <c r="B59" s="137">
        <v>479914</v>
      </c>
      <c r="C59" s="137"/>
      <c r="D59" s="19">
        <v>93951</v>
      </c>
      <c r="E59" s="137"/>
      <c r="F59" s="137"/>
      <c r="G59" s="137" t="s">
        <v>1007</v>
      </c>
      <c r="H59" s="137"/>
      <c r="I59" s="138">
        <f>387604.5*1.05</f>
        <v>406984.72500000003</v>
      </c>
      <c r="J59" s="138"/>
      <c r="K59" s="107"/>
    </row>
    <row r="60" spans="1:11" x14ac:dyDescent="0.2">
      <c r="A60" s="58">
        <v>13</v>
      </c>
      <c r="B60" s="151"/>
      <c r="C60" s="151"/>
      <c r="D60" s="58">
        <v>108792</v>
      </c>
      <c r="E60" s="151"/>
      <c r="F60" s="151"/>
      <c r="G60" s="151" t="s">
        <v>1297</v>
      </c>
      <c r="H60" s="151"/>
      <c r="I60" s="152">
        <v>789474</v>
      </c>
      <c r="J60" s="152"/>
    </row>
    <row r="61" spans="1:11" x14ac:dyDescent="0.2">
      <c r="A61" s="26">
        <v>14</v>
      </c>
      <c r="B61" s="236"/>
      <c r="C61" s="236"/>
      <c r="D61" s="26"/>
      <c r="E61" s="236"/>
      <c r="F61" s="236"/>
      <c r="G61" s="220" t="s">
        <v>1633</v>
      </c>
      <c r="H61" s="236"/>
      <c r="I61" s="247">
        <v>712440</v>
      </c>
      <c r="J61" s="247"/>
    </row>
    <row r="62" spans="1:11" x14ac:dyDescent="0.2">
      <c r="A62" s="26"/>
      <c r="B62" s="236"/>
      <c r="C62" s="236"/>
      <c r="D62" s="26"/>
      <c r="E62" s="236"/>
      <c r="F62" s="236"/>
      <c r="G62" s="220"/>
      <c r="H62" s="236"/>
      <c r="I62" s="247"/>
      <c r="J62" s="247"/>
    </row>
    <row r="63" spans="1:11" ht="13.5" thickBot="1" x14ac:dyDescent="0.25">
      <c r="A63" s="9"/>
      <c r="B63" s="128"/>
      <c r="C63" s="128"/>
      <c r="D63" s="9"/>
      <c r="E63" s="128"/>
      <c r="F63" s="128"/>
      <c r="G63" s="128"/>
      <c r="H63" s="128"/>
      <c r="I63" s="226"/>
      <c r="J63" s="226"/>
    </row>
    <row r="64" spans="1:11" ht="13.5" thickTop="1" x14ac:dyDescent="0.2">
      <c r="A64" s="13"/>
      <c r="B64" s="13"/>
      <c r="C64" s="13"/>
      <c r="D64" s="13"/>
      <c r="E64" s="13"/>
      <c r="F64" s="13"/>
      <c r="G64" s="13"/>
      <c r="H64" s="13" t="s">
        <v>33</v>
      </c>
      <c r="I64" s="140">
        <f>SUM(I46:J63)</f>
        <v>3638420.0449999999</v>
      </c>
      <c r="J64" s="140"/>
    </row>
    <row r="65" spans="1:10" x14ac:dyDescent="0.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5" x14ac:dyDescent="0.25">
      <c r="A66" s="15" t="s">
        <v>46</v>
      </c>
      <c r="B66" s="16"/>
      <c r="C66" s="16"/>
      <c r="D66" s="16"/>
      <c r="E66" s="16"/>
      <c r="F66" s="16"/>
      <c r="G66" s="16"/>
      <c r="H66" s="16"/>
      <c r="I66" s="149" t="s">
        <v>47</v>
      </c>
      <c r="J66" s="150"/>
    </row>
    <row r="67" spans="1:10" x14ac:dyDescent="0.2">
      <c r="A67" s="144" t="s">
        <v>48</v>
      </c>
      <c r="B67" s="144"/>
      <c r="C67" s="144"/>
      <c r="D67" s="144"/>
      <c r="E67" s="144"/>
      <c r="F67" s="144"/>
      <c r="G67" s="144"/>
      <c r="H67" s="144"/>
      <c r="I67" s="148">
        <f>I41*80%</f>
        <v>6083779.6640000008</v>
      </c>
      <c r="J67" s="148"/>
    </row>
    <row r="68" spans="1:10" x14ac:dyDescent="0.2">
      <c r="A68" s="144" t="s">
        <v>49</v>
      </c>
      <c r="B68" s="144"/>
      <c r="C68" s="144"/>
      <c r="D68" s="144"/>
      <c r="E68" s="144"/>
      <c r="F68" s="144"/>
      <c r="G68" s="144"/>
      <c r="H68" s="144"/>
      <c r="I68" s="184">
        <v>64892</v>
      </c>
      <c r="J68" s="184"/>
    </row>
    <row r="69" spans="1:10" x14ac:dyDescent="0.2">
      <c r="A69" s="185" t="s">
        <v>836</v>
      </c>
      <c r="B69" s="142"/>
      <c r="C69" s="142"/>
      <c r="D69" s="142"/>
      <c r="E69" s="142"/>
      <c r="F69" s="142"/>
      <c r="G69" s="142"/>
      <c r="H69" s="143"/>
      <c r="I69" s="285">
        <v>500000</v>
      </c>
      <c r="J69" s="286"/>
    </row>
    <row r="70" spans="1:10" x14ac:dyDescent="0.2">
      <c r="A70" s="141" t="s">
        <v>1192</v>
      </c>
      <c r="B70" s="142"/>
      <c r="C70" s="142"/>
      <c r="D70" s="142"/>
      <c r="E70" s="142"/>
      <c r="F70" s="142"/>
      <c r="G70" s="142"/>
      <c r="H70" s="143"/>
      <c r="I70" s="146">
        <v>-250000</v>
      </c>
      <c r="J70" s="147"/>
    </row>
    <row r="71" spans="1:10" x14ac:dyDescent="0.2">
      <c r="A71" s="141" t="s">
        <v>1212</v>
      </c>
      <c r="B71" s="142"/>
      <c r="C71" s="142"/>
      <c r="D71" s="142"/>
      <c r="E71" s="142"/>
      <c r="F71" s="142"/>
      <c r="G71" s="142"/>
      <c r="H71" s="143"/>
      <c r="I71" s="146">
        <v>-250000</v>
      </c>
      <c r="J71" s="147"/>
    </row>
    <row r="72" spans="1:10" x14ac:dyDescent="0.2">
      <c r="A72" s="141" t="s">
        <v>1280</v>
      </c>
      <c r="B72" s="142"/>
      <c r="C72" s="142"/>
      <c r="D72" s="142"/>
      <c r="E72" s="142"/>
      <c r="F72" s="142"/>
      <c r="G72" s="142"/>
      <c r="H72" s="143"/>
      <c r="I72" s="146">
        <v>-100000</v>
      </c>
      <c r="J72" s="147"/>
    </row>
    <row r="73" spans="1:10" x14ac:dyDescent="0.2">
      <c r="A73" s="141" t="s">
        <v>1461</v>
      </c>
      <c r="B73" s="142"/>
      <c r="C73" s="142"/>
      <c r="D73" s="142"/>
      <c r="E73" s="142"/>
      <c r="F73" s="142"/>
      <c r="G73" s="142"/>
      <c r="H73" s="143"/>
      <c r="I73" s="146">
        <v>-250000</v>
      </c>
      <c r="J73" s="147"/>
    </row>
    <row r="74" spans="1:10" x14ac:dyDescent="0.2">
      <c r="A74" s="141" t="s">
        <v>1462</v>
      </c>
      <c r="B74" s="142"/>
      <c r="C74" s="142"/>
      <c r="D74" s="142"/>
      <c r="E74" s="142"/>
      <c r="F74" s="142"/>
      <c r="G74" s="142"/>
      <c r="H74" s="143"/>
      <c r="I74" s="146">
        <v>-250000</v>
      </c>
      <c r="J74" s="147"/>
    </row>
    <row r="75" spans="1:10" x14ac:dyDescent="0.2">
      <c r="A75" s="185" t="s">
        <v>1574</v>
      </c>
      <c r="B75" s="142"/>
      <c r="C75" s="142"/>
      <c r="D75" s="142"/>
      <c r="E75" s="142"/>
      <c r="F75" s="142"/>
      <c r="G75" s="142"/>
      <c r="H75" s="143"/>
      <c r="I75" s="146">
        <v>-300000</v>
      </c>
      <c r="J75" s="147"/>
    </row>
    <row r="76" spans="1:10" x14ac:dyDescent="0.2">
      <c r="A76" s="35"/>
      <c r="B76" s="37"/>
      <c r="C76" s="37"/>
      <c r="D76" s="37"/>
      <c r="E76" s="37"/>
      <c r="F76" s="37"/>
      <c r="G76" s="37"/>
      <c r="H76" s="36"/>
      <c r="I76" s="121"/>
      <c r="J76" s="122"/>
    </row>
    <row r="77" spans="1:10" ht="13.5" thickBot="1" x14ac:dyDescent="0.25">
      <c r="A77" s="144" t="s">
        <v>50</v>
      </c>
      <c r="B77" s="144"/>
      <c r="C77" s="144"/>
      <c r="D77" s="144"/>
      <c r="E77" s="144"/>
      <c r="F77" s="144"/>
      <c r="G77" s="144"/>
      <c r="H77" s="144"/>
      <c r="I77" s="145">
        <f>I64</f>
        <v>3638420.0449999999</v>
      </c>
      <c r="J77" s="145"/>
    </row>
    <row r="78" spans="1:10" ht="13.5" thickTop="1" x14ac:dyDescent="0.2">
      <c r="H78" s="18" t="s">
        <v>33</v>
      </c>
      <c r="I78" s="129">
        <f>I67+I68+I69+I70+I71+I72+I73+I74+I75-I77</f>
        <v>1610251.6190000009</v>
      </c>
      <c r="J78" s="130"/>
    </row>
    <row r="80" spans="1:10" ht="15" x14ac:dyDescent="0.25">
      <c r="A80" s="131" t="s">
        <v>51</v>
      </c>
      <c r="B80" s="132"/>
      <c r="C80" s="132"/>
      <c r="D80" s="132"/>
      <c r="E80" s="132"/>
      <c r="F80" s="132"/>
      <c r="G80" s="132"/>
      <c r="H80" s="132"/>
      <c r="I80" s="132"/>
      <c r="J80" s="133"/>
    </row>
    <row r="81" spans="1:10" x14ac:dyDescent="0.2">
      <c r="A81" s="139" t="s">
        <v>521</v>
      </c>
      <c r="B81" s="139"/>
      <c r="C81" s="139"/>
      <c r="D81" s="139"/>
      <c r="E81" s="139"/>
      <c r="F81" s="139"/>
      <c r="G81" s="139"/>
      <c r="H81" s="139"/>
      <c r="I81" s="139"/>
      <c r="J81" s="139"/>
    </row>
    <row r="82" spans="1:10" x14ac:dyDescent="0.2">
      <c r="A82" s="139"/>
      <c r="B82" s="139"/>
      <c r="C82" s="139"/>
      <c r="D82" s="139"/>
      <c r="E82" s="139"/>
      <c r="F82" s="139"/>
      <c r="G82" s="139"/>
      <c r="H82" s="139"/>
      <c r="I82" s="139"/>
      <c r="J82" s="139"/>
    </row>
    <row r="83" spans="1:10" x14ac:dyDescent="0.2">
      <c r="A83" s="139"/>
      <c r="B83" s="139"/>
      <c r="C83" s="139"/>
      <c r="D83" s="139"/>
      <c r="E83" s="139"/>
      <c r="F83" s="139"/>
      <c r="G83" s="139"/>
      <c r="H83" s="139"/>
      <c r="I83" s="139"/>
      <c r="J83" s="139"/>
    </row>
    <row r="84" spans="1:10" x14ac:dyDescent="0.2">
      <c r="A84" s="139"/>
      <c r="B84" s="139"/>
      <c r="C84" s="139"/>
      <c r="D84" s="139"/>
      <c r="E84" s="139"/>
      <c r="F84" s="139"/>
      <c r="G84" s="139"/>
      <c r="H84" s="139"/>
      <c r="I84" s="139"/>
      <c r="J84" s="139"/>
    </row>
    <row r="85" spans="1:10" x14ac:dyDescent="0.2">
      <c r="A85" s="139"/>
      <c r="B85" s="139"/>
      <c r="C85" s="139"/>
      <c r="D85" s="139"/>
      <c r="E85" s="139"/>
      <c r="F85" s="139"/>
      <c r="G85" s="139"/>
      <c r="H85" s="139"/>
      <c r="I85" s="139"/>
      <c r="J85" s="139"/>
    </row>
    <row r="86" spans="1:10" x14ac:dyDescent="0.2">
      <c r="A86" s="139"/>
      <c r="B86" s="139"/>
      <c r="C86" s="139"/>
      <c r="D86" s="139"/>
      <c r="E86" s="139"/>
      <c r="F86" s="139"/>
      <c r="G86" s="139"/>
      <c r="H86" s="139"/>
      <c r="I86" s="139"/>
      <c r="J86" s="139"/>
    </row>
  </sheetData>
  <mergeCells count="218">
    <mergeCell ref="B49:C49"/>
    <mergeCell ref="G48:H48"/>
    <mergeCell ref="B47:C47"/>
    <mergeCell ref="E47:F47"/>
    <mergeCell ref="G39:H39"/>
    <mergeCell ref="D39:E39"/>
    <mergeCell ref="E46:F46"/>
    <mergeCell ref="B32:C32"/>
    <mergeCell ref="D32:E32"/>
    <mergeCell ref="G32:H32"/>
    <mergeCell ref="B38:C38"/>
    <mergeCell ref="D38:E38"/>
    <mergeCell ref="D33:E33"/>
    <mergeCell ref="G40:H40"/>
    <mergeCell ref="G44:H45"/>
    <mergeCell ref="B36:C36"/>
    <mergeCell ref="D36:E36"/>
    <mergeCell ref="G36:H36"/>
    <mergeCell ref="B37:C37"/>
    <mergeCell ref="D37:E37"/>
    <mergeCell ref="G37:H37"/>
    <mergeCell ref="E53:F53"/>
    <mergeCell ref="G53:H53"/>
    <mergeCell ref="I53:J53"/>
    <mergeCell ref="B51:C51"/>
    <mergeCell ref="E51:F51"/>
    <mergeCell ref="G54:H54"/>
    <mergeCell ref="I54:J54"/>
    <mergeCell ref="I52:J52"/>
    <mergeCell ref="G52:H52"/>
    <mergeCell ref="I51:J51"/>
    <mergeCell ref="G51:H51"/>
    <mergeCell ref="B50:C50"/>
    <mergeCell ref="E50:F50"/>
    <mergeCell ref="B28:C28"/>
    <mergeCell ref="D28:E28"/>
    <mergeCell ref="G28:H28"/>
    <mergeCell ref="G29:H29"/>
    <mergeCell ref="I50:J50"/>
    <mergeCell ref="B46:C46"/>
    <mergeCell ref="B30:C30"/>
    <mergeCell ref="D30:E30"/>
    <mergeCell ref="D40:E40"/>
    <mergeCell ref="A43:J43"/>
    <mergeCell ref="D31:E31"/>
    <mergeCell ref="G33:H33"/>
    <mergeCell ref="G46:H46"/>
    <mergeCell ref="G34:H34"/>
    <mergeCell ref="G50:H50"/>
    <mergeCell ref="B48:C48"/>
    <mergeCell ref="E48:F48"/>
    <mergeCell ref="E49:F49"/>
    <mergeCell ref="G49:H49"/>
    <mergeCell ref="I48:J48"/>
    <mergeCell ref="G47:H47"/>
    <mergeCell ref="I49:J49"/>
    <mergeCell ref="G6:H6"/>
    <mergeCell ref="D8:E8"/>
    <mergeCell ref="D17:E17"/>
    <mergeCell ref="G11:H11"/>
    <mergeCell ref="B23:C23"/>
    <mergeCell ref="D23:E23"/>
    <mergeCell ref="D18:E18"/>
    <mergeCell ref="G18:H18"/>
    <mergeCell ref="G21:H21"/>
    <mergeCell ref="G20:H20"/>
    <mergeCell ref="D9:E9"/>
    <mergeCell ref="B13:C13"/>
    <mergeCell ref="D10:E10"/>
    <mergeCell ref="B6:C6"/>
    <mergeCell ref="D6:E6"/>
    <mergeCell ref="B8:C8"/>
    <mergeCell ref="B11:C11"/>
    <mergeCell ref="B7:C7"/>
    <mergeCell ref="D13:E13"/>
    <mergeCell ref="G8:H8"/>
    <mergeCell ref="B9:C9"/>
    <mergeCell ref="G7:H7"/>
    <mergeCell ref="B12:C12"/>
    <mergeCell ref="G9:H9"/>
    <mergeCell ref="A3:J3"/>
    <mergeCell ref="A4:A5"/>
    <mergeCell ref="B4:E4"/>
    <mergeCell ref="F4:F5"/>
    <mergeCell ref="G4:H5"/>
    <mergeCell ref="B5:C5"/>
    <mergeCell ref="I4:I5"/>
    <mergeCell ref="J4:J5"/>
    <mergeCell ref="D5:E5"/>
    <mergeCell ref="G10:H10"/>
    <mergeCell ref="D7:E7"/>
    <mergeCell ref="B10:C10"/>
    <mergeCell ref="D11:E11"/>
    <mergeCell ref="D12:E12"/>
    <mergeCell ref="A44:A45"/>
    <mergeCell ref="B44:C45"/>
    <mergeCell ref="D44:D45"/>
    <mergeCell ref="B27:C27"/>
    <mergeCell ref="D27:E27"/>
    <mergeCell ref="E44:F45"/>
    <mergeCell ref="B39:C39"/>
    <mergeCell ref="B31:C31"/>
    <mergeCell ref="B34:C34"/>
    <mergeCell ref="D34:E34"/>
    <mergeCell ref="G12:H12"/>
    <mergeCell ref="G27:H27"/>
    <mergeCell ref="G15:H15"/>
    <mergeCell ref="D22:E22"/>
    <mergeCell ref="G13:H13"/>
    <mergeCell ref="D14:E14"/>
    <mergeCell ref="G16:H16"/>
    <mergeCell ref="D15:E15"/>
    <mergeCell ref="G23:H23"/>
    <mergeCell ref="A81:J86"/>
    <mergeCell ref="A68:H68"/>
    <mergeCell ref="I68:J68"/>
    <mergeCell ref="A77:H77"/>
    <mergeCell ref="A69:H69"/>
    <mergeCell ref="A73:H73"/>
    <mergeCell ref="A74:H74"/>
    <mergeCell ref="I74:J74"/>
    <mergeCell ref="I71:J71"/>
    <mergeCell ref="I69:J69"/>
    <mergeCell ref="A80:J80"/>
    <mergeCell ref="A72:H72"/>
    <mergeCell ref="A71:H71"/>
    <mergeCell ref="I72:J72"/>
    <mergeCell ref="A70:H70"/>
    <mergeCell ref="I70:J70"/>
    <mergeCell ref="I73:J73"/>
    <mergeCell ref="I78:J78"/>
    <mergeCell ref="I77:J77"/>
    <mergeCell ref="A75:H75"/>
    <mergeCell ref="I75:J75"/>
    <mergeCell ref="E57:F57"/>
    <mergeCell ref="B63:C63"/>
    <mergeCell ref="B54:C54"/>
    <mergeCell ref="G59:H59"/>
    <mergeCell ref="I59:J59"/>
    <mergeCell ref="I62:J62"/>
    <mergeCell ref="B60:C60"/>
    <mergeCell ref="E60:F60"/>
    <mergeCell ref="G60:H60"/>
    <mergeCell ref="E61:F61"/>
    <mergeCell ref="G61:H61"/>
    <mergeCell ref="I61:J61"/>
    <mergeCell ref="I57:J57"/>
    <mergeCell ref="I55:J55"/>
    <mergeCell ref="E59:F59"/>
    <mergeCell ref="B59:C59"/>
    <mergeCell ref="G55:H55"/>
    <mergeCell ref="B58:C58"/>
    <mergeCell ref="E62:F62"/>
    <mergeCell ref="I44:J45"/>
    <mergeCell ref="G24:H24"/>
    <mergeCell ref="B25:C25"/>
    <mergeCell ref="B26:C26"/>
    <mergeCell ref="D26:E26"/>
    <mergeCell ref="G25:H25"/>
    <mergeCell ref="G30:H30"/>
    <mergeCell ref="I46:J46"/>
    <mergeCell ref="B56:C56"/>
    <mergeCell ref="B53:C53"/>
    <mergeCell ref="D25:E25"/>
    <mergeCell ref="G38:H38"/>
    <mergeCell ref="B33:C33"/>
    <mergeCell ref="B40:C40"/>
    <mergeCell ref="B24:C24"/>
    <mergeCell ref="B29:C29"/>
    <mergeCell ref="D29:E29"/>
    <mergeCell ref="G31:H31"/>
    <mergeCell ref="G26:H26"/>
    <mergeCell ref="D24:E24"/>
    <mergeCell ref="B35:C35"/>
    <mergeCell ref="D35:E35"/>
    <mergeCell ref="G35:H35"/>
    <mergeCell ref="I47:J47"/>
    <mergeCell ref="I67:J67"/>
    <mergeCell ref="E58:F58"/>
    <mergeCell ref="G58:H58"/>
    <mergeCell ref="E52:F52"/>
    <mergeCell ref="E54:F54"/>
    <mergeCell ref="E63:F63"/>
    <mergeCell ref="G63:H63"/>
    <mergeCell ref="A67:H67"/>
    <mergeCell ref="I60:J60"/>
    <mergeCell ref="G57:H57"/>
    <mergeCell ref="G56:H56"/>
    <mergeCell ref="I56:J56"/>
    <mergeCell ref="I63:J63"/>
    <mergeCell ref="B55:C55"/>
    <mergeCell ref="I58:J58"/>
    <mergeCell ref="E55:F55"/>
    <mergeCell ref="I64:J64"/>
    <mergeCell ref="B61:C61"/>
    <mergeCell ref="B62:C62"/>
    <mergeCell ref="G62:H62"/>
    <mergeCell ref="B57:C57"/>
    <mergeCell ref="B52:C52"/>
    <mergeCell ref="E56:F56"/>
    <mergeCell ref="I66:J66"/>
    <mergeCell ref="B14:C14"/>
    <mergeCell ref="G14:H14"/>
    <mergeCell ref="G19:H19"/>
    <mergeCell ref="B20:C20"/>
    <mergeCell ref="B15:C15"/>
    <mergeCell ref="B22:C22"/>
    <mergeCell ref="G22:H22"/>
    <mergeCell ref="B21:C21"/>
    <mergeCell ref="B17:C17"/>
    <mergeCell ref="G17:H17"/>
    <mergeCell ref="D16:E16"/>
    <mergeCell ref="B18:C18"/>
    <mergeCell ref="D21:E21"/>
    <mergeCell ref="B16:C16"/>
    <mergeCell ref="B19:C19"/>
    <mergeCell ref="D19:E19"/>
    <mergeCell ref="D20:E20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61"/>
  <sheetViews>
    <sheetView topLeftCell="A25" workbookViewId="0">
      <selection activeCell="I32" sqref="I32:J32"/>
    </sheetView>
  </sheetViews>
  <sheetFormatPr defaultRowHeight="12.75" x14ac:dyDescent="0.2"/>
  <cols>
    <col min="6" max="6" width="16.42578125" bestFit="1" customWidth="1"/>
    <col min="9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1178</v>
      </c>
      <c r="B2" s="6"/>
      <c r="C2" s="6"/>
      <c r="D2" s="6"/>
      <c r="E2" s="6"/>
      <c r="F2" s="6"/>
      <c r="G2" s="6"/>
      <c r="H2" s="6"/>
      <c r="I2" s="6"/>
      <c r="J2" s="59" t="s">
        <v>130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4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0" x14ac:dyDescent="0.2">
      <c r="A6" s="9"/>
      <c r="B6" s="128"/>
      <c r="C6" s="128"/>
      <c r="D6" s="128"/>
      <c r="E6" s="128"/>
      <c r="F6" s="12"/>
      <c r="G6" s="169"/>
      <c r="H6" s="169"/>
      <c r="I6" s="39"/>
      <c r="J6" s="40"/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39"/>
      <c r="J7" s="40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9"/>
      <c r="J8" s="40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9"/>
      <c r="J9" s="40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9"/>
      <c r="J10" s="40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9"/>
      <c r="J11" s="40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9"/>
      <c r="J12" s="40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9"/>
      <c r="J13" s="40"/>
    </row>
    <row r="14" spans="1:10" x14ac:dyDescent="0.2">
      <c r="A14" s="9"/>
      <c r="B14" s="192"/>
      <c r="C14" s="204"/>
      <c r="D14" s="192"/>
      <c r="E14" s="204"/>
      <c r="F14" s="12"/>
      <c r="G14" s="179"/>
      <c r="H14" s="181"/>
      <c r="I14" s="39"/>
      <c r="J14" s="40"/>
    </row>
    <row r="15" spans="1:10" x14ac:dyDescent="0.2">
      <c r="A15" s="9"/>
      <c r="B15" s="192"/>
      <c r="C15" s="204"/>
      <c r="D15" s="192"/>
      <c r="E15" s="204"/>
      <c r="F15" s="12"/>
      <c r="G15" s="179"/>
      <c r="H15" s="181"/>
      <c r="I15" s="39"/>
      <c r="J15" s="40"/>
    </row>
    <row r="16" spans="1:10" x14ac:dyDescent="0.2">
      <c r="A16" s="9"/>
      <c r="B16" s="192"/>
      <c r="C16" s="204"/>
      <c r="D16" s="192"/>
      <c r="E16" s="204"/>
      <c r="F16" s="12"/>
      <c r="G16" s="179"/>
      <c r="H16" s="181"/>
      <c r="I16" s="39"/>
      <c r="J16" s="40"/>
    </row>
    <row r="17" spans="1:10" x14ac:dyDescent="0.2">
      <c r="A17" s="9"/>
      <c r="B17" s="128"/>
      <c r="C17" s="128"/>
      <c r="D17" s="128"/>
      <c r="E17" s="128"/>
      <c r="F17" s="12"/>
      <c r="G17" s="169"/>
      <c r="H17" s="169"/>
      <c r="I17" s="39"/>
      <c r="J17" s="40"/>
    </row>
    <row r="18" spans="1:10" x14ac:dyDescent="0.2">
      <c r="A18" s="9"/>
      <c r="B18" s="128"/>
      <c r="C18" s="128"/>
      <c r="D18" s="128"/>
      <c r="E18" s="128"/>
      <c r="F18" s="12"/>
      <c r="G18" s="169"/>
      <c r="H18" s="169"/>
      <c r="I18" s="39"/>
      <c r="J18" s="40"/>
    </row>
    <row r="19" spans="1:10" x14ac:dyDescent="0.2">
      <c r="A19" s="9"/>
      <c r="B19" s="128"/>
      <c r="C19" s="128"/>
      <c r="D19" s="128"/>
      <c r="E19" s="128"/>
      <c r="F19" s="12"/>
      <c r="G19" s="169"/>
      <c r="H19" s="169"/>
      <c r="I19" s="39"/>
      <c r="J19" s="40"/>
    </row>
    <row r="20" spans="1:10" x14ac:dyDescent="0.2">
      <c r="A20" s="9"/>
      <c r="B20" s="128"/>
      <c r="C20" s="128"/>
      <c r="D20" s="128"/>
      <c r="E20" s="128"/>
      <c r="F20" s="12"/>
      <c r="G20" s="169"/>
      <c r="H20" s="169"/>
      <c r="I20" s="39"/>
      <c r="J20" s="40"/>
    </row>
    <row r="21" spans="1:10" x14ac:dyDescent="0.2">
      <c r="A21" s="9"/>
      <c r="B21" s="128"/>
      <c r="C21" s="128"/>
      <c r="D21" s="128"/>
      <c r="E21" s="128"/>
      <c r="F21" s="12"/>
      <c r="G21" s="169"/>
      <c r="H21" s="169"/>
      <c r="I21" s="39"/>
      <c r="J21" s="40"/>
    </row>
    <row r="22" spans="1:10" x14ac:dyDescent="0.2">
      <c r="A22" s="9"/>
      <c r="B22" s="128"/>
      <c r="C22" s="128"/>
      <c r="D22" s="128"/>
      <c r="E22" s="128"/>
      <c r="F22" s="12"/>
      <c r="G22" s="169"/>
      <c r="H22" s="169"/>
      <c r="I22" s="39"/>
      <c r="J22" s="40"/>
    </row>
    <row r="23" spans="1:10" x14ac:dyDescent="0.2">
      <c r="A23" s="9"/>
      <c r="B23" s="128"/>
      <c r="C23" s="128"/>
      <c r="D23" s="128"/>
      <c r="E23" s="128"/>
      <c r="F23" s="12"/>
      <c r="G23" s="169"/>
      <c r="H23" s="169"/>
      <c r="I23" s="39"/>
      <c r="J23" s="40"/>
    </row>
    <row r="24" spans="1:10" ht="13.5" thickBot="1" x14ac:dyDescent="0.25">
      <c r="A24" s="9"/>
      <c r="B24" s="128"/>
      <c r="C24" s="128"/>
      <c r="D24" s="128"/>
      <c r="E24" s="128"/>
      <c r="F24" s="12"/>
      <c r="G24" s="169"/>
      <c r="H24" s="169"/>
      <c r="I24" s="41"/>
      <c r="J24" s="42"/>
    </row>
    <row r="25" spans="1:10" ht="13.5" thickTop="1" x14ac:dyDescent="0.2">
      <c r="A25" s="13"/>
      <c r="B25" s="13"/>
      <c r="C25" s="13"/>
      <c r="D25" s="13"/>
      <c r="E25" s="13"/>
      <c r="F25" s="13"/>
      <c r="G25" s="13"/>
      <c r="H25" s="13" t="s">
        <v>33</v>
      </c>
      <c r="I25" s="43">
        <f>SUM(I6:I24)</f>
        <v>0</v>
      </c>
      <c r="J25" s="43">
        <f>SUM(J6:J24)</f>
        <v>0</v>
      </c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131" t="s">
        <v>34</v>
      </c>
      <c r="B27" s="132"/>
      <c r="C27" s="132"/>
      <c r="D27" s="132"/>
      <c r="E27" s="132"/>
      <c r="F27" s="132"/>
      <c r="G27" s="132"/>
      <c r="H27" s="132"/>
      <c r="I27" s="132"/>
      <c r="J27" s="133"/>
    </row>
    <row r="28" spans="1:10" x14ac:dyDescent="0.2">
      <c r="A28" s="169" t="s">
        <v>23</v>
      </c>
      <c r="B28" s="169" t="s">
        <v>35</v>
      </c>
      <c r="C28" s="169"/>
      <c r="D28" s="169" t="s">
        <v>36</v>
      </c>
      <c r="E28" s="169" t="s">
        <v>37</v>
      </c>
      <c r="F28" s="169"/>
      <c r="G28" s="169" t="s">
        <v>38</v>
      </c>
      <c r="H28" s="169"/>
      <c r="I28" s="169" t="s">
        <v>39</v>
      </c>
      <c r="J28" s="169"/>
    </row>
    <row r="29" spans="1:10" x14ac:dyDescent="0.2">
      <c r="A29" s="169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2">
      <c r="A30" s="19">
        <v>1</v>
      </c>
      <c r="B30" s="225"/>
      <c r="C30" s="137"/>
      <c r="D30" s="19">
        <v>95288</v>
      </c>
      <c r="E30" s="196"/>
      <c r="F30" s="137"/>
      <c r="G30" s="225" t="s">
        <v>1179</v>
      </c>
      <c r="H30" s="137"/>
      <c r="I30" s="138">
        <v>79740</v>
      </c>
      <c r="J30" s="138"/>
    </row>
    <row r="31" spans="1:10" x14ac:dyDescent="0.2">
      <c r="A31" s="58">
        <v>2</v>
      </c>
      <c r="B31" s="259"/>
      <c r="C31" s="151"/>
      <c r="D31" s="58">
        <v>109262</v>
      </c>
      <c r="E31" s="260"/>
      <c r="F31" s="151"/>
      <c r="G31" s="259" t="s">
        <v>1342</v>
      </c>
      <c r="H31" s="151"/>
      <c r="I31" s="152"/>
      <c r="J31" s="152"/>
    </row>
    <row r="32" spans="1:10" x14ac:dyDescent="0.2">
      <c r="A32" s="9"/>
      <c r="B32" s="183"/>
      <c r="C32" s="128"/>
      <c r="D32" s="9"/>
      <c r="E32" s="182"/>
      <c r="F32" s="128"/>
      <c r="G32" s="183"/>
      <c r="H32" s="128"/>
      <c r="I32" s="136"/>
      <c r="J32" s="136"/>
    </row>
    <row r="33" spans="1:10" x14ac:dyDescent="0.2">
      <c r="A33" s="9"/>
      <c r="B33" s="192"/>
      <c r="C33" s="204"/>
      <c r="D33" s="9"/>
      <c r="E33" s="182"/>
      <c r="F33" s="128"/>
      <c r="G33" s="128"/>
      <c r="H33" s="128"/>
      <c r="I33" s="136"/>
      <c r="J33" s="136"/>
    </row>
    <row r="34" spans="1:10" x14ac:dyDescent="0.2">
      <c r="A34" s="9"/>
      <c r="B34" s="192"/>
      <c r="C34" s="204"/>
      <c r="D34" s="9"/>
      <c r="E34" s="125"/>
      <c r="F34" s="204"/>
      <c r="G34" s="192"/>
      <c r="H34" s="204"/>
      <c r="I34" s="194"/>
      <c r="J34" s="195"/>
    </row>
    <row r="35" spans="1:10" x14ac:dyDescent="0.2">
      <c r="A35" s="19"/>
      <c r="B35" s="137"/>
      <c r="C35" s="137"/>
      <c r="D35" s="19"/>
      <c r="E35" s="196"/>
      <c r="F35" s="137"/>
      <c r="G35" s="164"/>
      <c r="H35" s="228"/>
      <c r="I35" s="138"/>
      <c r="J35" s="138"/>
    </row>
    <row r="36" spans="1:10" x14ac:dyDescent="0.2">
      <c r="A36" s="19"/>
      <c r="B36" s="137"/>
      <c r="C36" s="137"/>
      <c r="D36" s="19"/>
      <c r="E36" s="137"/>
      <c r="F36" s="137"/>
      <c r="G36" s="164"/>
      <c r="H36" s="228"/>
      <c r="I36" s="138"/>
      <c r="J36" s="138"/>
    </row>
    <row r="37" spans="1:10" x14ac:dyDescent="0.2">
      <c r="A37" s="9"/>
      <c r="B37" s="128"/>
      <c r="C37" s="128"/>
      <c r="D37" s="9"/>
      <c r="E37" s="128"/>
      <c r="F37" s="128"/>
      <c r="G37" s="128"/>
      <c r="H37" s="128"/>
      <c r="I37" s="136"/>
      <c r="J37" s="136"/>
    </row>
    <row r="38" spans="1:10" x14ac:dyDescent="0.2">
      <c r="A38" s="19"/>
      <c r="B38" s="137"/>
      <c r="C38" s="137"/>
      <c r="D38" s="19"/>
      <c r="E38" s="196"/>
      <c r="F38" s="137"/>
      <c r="G38" s="164"/>
      <c r="H38" s="228"/>
      <c r="I38" s="138"/>
      <c r="J38" s="138"/>
    </row>
    <row r="39" spans="1:10" x14ac:dyDescent="0.2">
      <c r="A39" s="19"/>
      <c r="B39" s="137"/>
      <c r="C39" s="137"/>
      <c r="D39" s="19"/>
      <c r="E39" s="196"/>
      <c r="F39" s="137"/>
      <c r="G39" s="137"/>
      <c r="H39" s="137"/>
      <c r="I39" s="138"/>
      <c r="J39" s="138"/>
    </row>
    <row r="40" spans="1:10" x14ac:dyDescent="0.2">
      <c r="A40" s="19"/>
      <c r="B40" s="137"/>
      <c r="C40" s="137"/>
      <c r="D40" s="19"/>
      <c r="E40" s="196"/>
      <c r="F40" s="137"/>
      <c r="G40" s="137"/>
      <c r="H40" s="137"/>
      <c r="I40" s="138"/>
      <c r="J40" s="138"/>
    </row>
    <row r="41" spans="1:10" x14ac:dyDescent="0.2">
      <c r="A41" s="19"/>
      <c r="B41" s="137"/>
      <c r="C41" s="137"/>
      <c r="D41" s="19"/>
      <c r="E41" s="137"/>
      <c r="F41" s="137"/>
      <c r="G41" s="137"/>
      <c r="H41" s="137"/>
      <c r="I41" s="138"/>
      <c r="J41" s="138"/>
    </row>
    <row r="42" spans="1:10" x14ac:dyDescent="0.2">
      <c r="A42" s="19"/>
      <c r="B42" s="137"/>
      <c r="C42" s="137"/>
      <c r="D42" s="19"/>
      <c r="E42" s="137"/>
      <c r="F42" s="137"/>
      <c r="G42" s="137"/>
      <c r="H42" s="137"/>
      <c r="I42" s="138"/>
      <c r="J42" s="138"/>
    </row>
    <row r="43" spans="1:10" x14ac:dyDescent="0.2">
      <c r="A43" s="26"/>
      <c r="B43" s="236"/>
      <c r="C43" s="236"/>
      <c r="D43" s="26"/>
      <c r="E43" s="236"/>
      <c r="F43" s="236"/>
      <c r="G43" s="220"/>
      <c r="H43" s="236"/>
      <c r="I43" s="247"/>
      <c r="J43" s="247"/>
    </row>
    <row r="44" spans="1:10" ht="13.5" thickBot="1" x14ac:dyDescent="0.25">
      <c r="A44" s="9"/>
      <c r="B44" s="128"/>
      <c r="C44" s="128"/>
      <c r="D44" s="9"/>
      <c r="E44" s="128"/>
      <c r="F44" s="128"/>
      <c r="G44" s="128"/>
      <c r="H44" s="128"/>
      <c r="I44" s="226"/>
      <c r="J44" s="226"/>
    </row>
    <row r="45" spans="1:10" ht="13.5" thickTop="1" x14ac:dyDescent="0.2">
      <c r="A45" s="13"/>
      <c r="B45" s="13"/>
      <c r="C45" s="13"/>
      <c r="D45" s="13"/>
      <c r="E45" s="13"/>
      <c r="F45" s="13"/>
      <c r="G45" s="13"/>
      <c r="H45" s="13" t="s">
        <v>33</v>
      </c>
      <c r="I45" s="140">
        <f>SUM(I30:J44)</f>
        <v>79740</v>
      </c>
      <c r="J45" s="140"/>
    </row>
    <row r="46" spans="1:10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 x14ac:dyDescent="0.25">
      <c r="A47" s="15" t="s">
        <v>46</v>
      </c>
      <c r="B47" s="16"/>
      <c r="C47" s="16"/>
      <c r="D47" s="16"/>
      <c r="E47" s="16"/>
      <c r="F47" s="16"/>
      <c r="G47" s="16"/>
      <c r="H47" s="16"/>
      <c r="I47" s="149" t="s">
        <v>47</v>
      </c>
      <c r="J47" s="150"/>
    </row>
    <row r="48" spans="1:10" x14ac:dyDescent="0.2">
      <c r="A48" s="144" t="s">
        <v>48</v>
      </c>
      <c r="B48" s="144"/>
      <c r="C48" s="144"/>
      <c r="D48" s="144"/>
      <c r="E48" s="144"/>
      <c r="F48" s="144"/>
      <c r="G48" s="144"/>
      <c r="H48" s="144"/>
      <c r="I48" s="148">
        <f>I25*80%</f>
        <v>0</v>
      </c>
      <c r="J48" s="148"/>
    </row>
    <row r="49" spans="1:10" x14ac:dyDescent="0.2">
      <c r="A49" s="231" t="s">
        <v>1180</v>
      </c>
      <c r="B49" s="144"/>
      <c r="C49" s="144"/>
      <c r="D49" s="144"/>
      <c r="E49" s="144"/>
      <c r="F49" s="144"/>
      <c r="G49" s="144"/>
      <c r="H49" s="144"/>
      <c r="I49" s="184">
        <v>80000</v>
      </c>
      <c r="J49" s="184"/>
    </row>
    <row r="50" spans="1:10" x14ac:dyDescent="0.2">
      <c r="A50" s="231" t="s">
        <v>1251</v>
      </c>
      <c r="B50" s="144"/>
      <c r="C50" s="144"/>
      <c r="D50" s="144"/>
      <c r="E50" s="144"/>
      <c r="F50" s="144"/>
      <c r="G50" s="144"/>
      <c r="H50" s="144"/>
      <c r="I50" s="184">
        <v>110000</v>
      </c>
      <c r="J50" s="184"/>
    </row>
    <row r="51" spans="1:10" x14ac:dyDescent="0.2">
      <c r="A51" s="185"/>
      <c r="B51" s="142"/>
      <c r="C51" s="142"/>
      <c r="D51" s="142"/>
      <c r="E51" s="142"/>
      <c r="F51" s="142"/>
      <c r="G51" s="142"/>
      <c r="H51" s="143"/>
      <c r="I51" s="146"/>
      <c r="J51" s="147"/>
    </row>
    <row r="52" spans="1:10" ht="13.5" thickBot="1" x14ac:dyDescent="0.25">
      <c r="A52" s="144" t="s">
        <v>50</v>
      </c>
      <c r="B52" s="144"/>
      <c r="C52" s="144"/>
      <c r="D52" s="144"/>
      <c r="E52" s="144"/>
      <c r="F52" s="144"/>
      <c r="G52" s="144"/>
      <c r="H52" s="144"/>
      <c r="I52" s="145">
        <f>I45</f>
        <v>79740</v>
      </c>
      <c r="J52" s="145"/>
    </row>
    <row r="53" spans="1:10" ht="13.5" thickTop="1" x14ac:dyDescent="0.2">
      <c r="H53" s="18" t="s">
        <v>33</v>
      </c>
      <c r="I53" s="129">
        <f>I48+I49+I50+I51-I52</f>
        <v>110260</v>
      </c>
      <c r="J53" s="130"/>
    </row>
    <row r="55" spans="1:10" ht="15" x14ac:dyDescent="0.25">
      <c r="A55" s="131" t="s">
        <v>51</v>
      </c>
      <c r="B55" s="132"/>
      <c r="C55" s="132"/>
      <c r="D55" s="132"/>
      <c r="E55" s="132"/>
      <c r="F55" s="132"/>
      <c r="G55" s="132"/>
      <c r="H55" s="132"/>
      <c r="I55" s="132"/>
      <c r="J55" s="133"/>
    </row>
    <row r="56" spans="1:10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</row>
    <row r="57" spans="1:10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</row>
    <row r="59" spans="1:10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</row>
    <row r="60" spans="1:10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</row>
    <row r="61" spans="1:10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</row>
  </sheetData>
  <mergeCells count="148">
    <mergeCell ref="A56:J61"/>
    <mergeCell ref="A51:H51"/>
    <mergeCell ref="I51:J51"/>
    <mergeCell ref="A52:H52"/>
    <mergeCell ref="I52:J52"/>
    <mergeCell ref="I53:J53"/>
    <mergeCell ref="A55:J55"/>
    <mergeCell ref="I45:J45"/>
    <mergeCell ref="I47:J47"/>
    <mergeCell ref="A48:H48"/>
    <mergeCell ref="I48:J48"/>
    <mergeCell ref="A49:H49"/>
    <mergeCell ref="I49:J49"/>
    <mergeCell ref="B43:C43"/>
    <mergeCell ref="E43:F43"/>
    <mergeCell ref="G43:H43"/>
    <mergeCell ref="I43:J43"/>
    <mergeCell ref="B44:C44"/>
    <mergeCell ref="E44:F44"/>
    <mergeCell ref="G44:H44"/>
    <mergeCell ref="I44:J44"/>
    <mergeCell ref="B41:C41"/>
    <mergeCell ref="E41:F41"/>
    <mergeCell ref="G41:H41"/>
    <mergeCell ref="I41:J41"/>
    <mergeCell ref="B42:C42"/>
    <mergeCell ref="E42:F42"/>
    <mergeCell ref="G42:H42"/>
    <mergeCell ref="I42:J42"/>
    <mergeCell ref="B39:C39"/>
    <mergeCell ref="E39:F39"/>
    <mergeCell ref="G39:H39"/>
    <mergeCell ref="I39:J39"/>
    <mergeCell ref="B40:C40"/>
    <mergeCell ref="E40:F40"/>
    <mergeCell ref="G40:H40"/>
    <mergeCell ref="I40:J40"/>
    <mergeCell ref="B37:C37"/>
    <mergeCell ref="E37:F37"/>
    <mergeCell ref="G37:H37"/>
    <mergeCell ref="I37:J37"/>
    <mergeCell ref="B38:C38"/>
    <mergeCell ref="E38:F38"/>
    <mergeCell ref="G38:H38"/>
    <mergeCell ref="I38:J38"/>
    <mergeCell ref="B35:C35"/>
    <mergeCell ref="E35:F35"/>
    <mergeCell ref="G35:H35"/>
    <mergeCell ref="I35:J35"/>
    <mergeCell ref="B36:C36"/>
    <mergeCell ref="E36:F36"/>
    <mergeCell ref="G36:H36"/>
    <mergeCell ref="I36:J36"/>
    <mergeCell ref="B33:C33"/>
    <mergeCell ref="E33:F33"/>
    <mergeCell ref="G33:H33"/>
    <mergeCell ref="I33:J33"/>
    <mergeCell ref="B34:C34"/>
    <mergeCell ref="E34:F34"/>
    <mergeCell ref="G34:H34"/>
    <mergeCell ref="I34:J34"/>
    <mergeCell ref="B31:C31"/>
    <mergeCell ref="E31:F31"/>
    <mergeCell ref="G31:H31"/>
    <mergeCell ref="I31:J31"/>
    <mergeCell ref="B32:C32"/>
    <mergeCell ref="E32:F32"/>
    <mergeCell ref="G32:H32"/>
    <mergeCell ref="I32:J32"/>
    <mergeCell ref="B30:C30"/>
    <mergeCell ref="E30:F30"/>
    <mergeCell ref="G30:H30"/>
    <mergeCell ref="I30:J30"/>
    <mergeCell ref="B24:C24"/>
    <mergeCell ref="D24:E24"/>
    <mergeCell ref="G24:H24"/>
    <mergeCell ref="A27:J27"/>
    <mergeCell ref="A28:A29"/>
    <mergeCell ref="B28:C29"/>
    <mergeCell ref="D28:D29"/>
    <mergeCell ref="E28:F29"/>
    <mergeCell ref="G28:H29"/>
    <mergeCell ref="I28:J29"/>
    <mergeCell ref="B22:C22"/>
    <mergeCell ref="D22:E22"/>
    <mergeCell ref="G22:H22"/>
    <mergeCell ref="B23:C23"/>
    <mergeCell ref="D23:E23"/>
    <mergeCell ref="G23:H23"/>
    <mergeCell ref="B20:C20"/>
    <mergeCell ref="D20:E20"/>
    <mergeCell ref="G20:H20"/>
    <mergeCell ref="B21:C21"/>
    <mergeCell ref="D21:E21"/>
    <mergeCell ref="G21:H21"/>
    <mergeCell ref="B19:C19"/>
    <mergeCell ref="D19:E19"/>
    <mergeCell ref="G19:H19"/>
    <mergeCell ref="B16:C16"/>
    <mergeCell ref="D16:E16"/>
    <mergeCell ref="G16:H16"/>
    <mergeCell ref="B17:C17"/>
    <mergeCell ref="D17:E17"/>
    <mergeCell ref="G17:H17"/>
    <mergeCell ref="D15:E15"/>
    <mergeCell ref="G15:H15"/>
    <mergeCell ref="B12:C12"/>
    <mergeCell ref="D12:E12"/>
    <mergeCell ref="G12:H12"/>
    <mergeCell ref="B13:C13"/>
    <mergeCell ref="D13:E13"/>
    <mergeCell ref="G13:H13"/>
    <mergeCell ref="B18:C18"/>
    <mergeCell ref="D18:E18"/>
    <mergeCell ref="G18:H18"/>
    <mergeCell ref="B6:C6"/>
    <mergeCell ref="D6:E6"/>
    <mergeCell ref="G6:H6"/>
    <mergeCell ref="B7:C7"/>
    <mergeCell ref="D7:E7"/>
    <mergeCell ref="G7:H7"/>
    <mergeCell ref="A50:H50"/>
    <mergeCell ref="I50:J50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14:C14"/>
    <mergeCell ref="D14:E14"/>
    <mergeCell ref="G14:H14"/>
    <mergeCell ref="B15:C15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54"/>
  <sheetViews>
    <sheetView topLeftCell="A22" workbookViewId="0">
      <selection activeCell="I43" sqref="A43:J43"/>
    </sheetView>
  </sheetViews>
  <sheetFormatPr defaultRowHeight="12.75" x14ac:dyDescent="0.2"/>
  <cols>
    <col min="6" max="6" width="11" customWidth="1"/>
    <col min="8" max="8" width="10.85546875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129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1" x14ac:dyDescent="0.2">
      <c r="A6" s="9">
        <v>1</v>
      </c>
      <c r="B6" s="183" t="s">
        <v>131</v>
      </c>
      <c r="C6" s="128"/>
      <c r="D6" s="183" t="s">
        <v>132</v>
      </c>
      <c r="E6" s="128"/>
      <c r="F6" s="12">
        <v>35185</v>
      </c>
      <c r="G6" s="169" t="s">
        <v>133</v>
      </c>
      <c r="H6" s="169"/>
      <c r="I6" s="32">
        <v>159174.6</v>
      </c>
      <c r="J6" s="32">
        <f t="shared" ref="J6:J16" si="0">I6*0.8</f>
        <v>127339.68000000001</v>
      </c>
    </row>
    <row r="7" spans="1:11" x14ac:dyDescent="0.2">
      <c r="A7" s="9">
        <v>2</v>
      </c>
      <c r="B7" s="183" t="s">
        <v>134</v>
      </c>
      <c r="C7" s="128"/>
      <c r="D7" s="183" t="s">
        <v>135</v>
      </c>
      <c r="E7" s="128"/>
      <c r="F7" s="12">
        <v>35185</v>
      </c>
      <c r="G7" s="169" t="s">
        <v>136</v>
      </c>
      <c r="H7" s="169"/>
      <c r="I7" s="32">
        <v>126004.25</v>
      </c>
      <c r="J7" s="32">
        <f t="shared" si="0"/>
        <v>100803.40000000001</v>
      </c>
    </row>
    <row r="8" spans="1:11" x14ac:dyDescent="0.2">
      <c r="A8" s="9">
        <v>3</v>
      </c>
      <c r="B8" s="183" t="s">
        <v>137</v>
      </c>
      <c r="C8" s="128"/>
      <c r="D8" s="183" t="s">
        <v>138</v>
      </c>
      <c r="E8" s="128"/>
      <c r="F8" s="12">
        <v>35185</v>
      </c>
      <c r="G8" s="169" t="s">
        <v>139</v>
      </c>
      <c r="H8" s="169"/>
      <c r="I8" s="32">
        <v>224786.55</v>
      </c>
      <c r="J8" s="32">
        <f t="shared" si="0"/>
        <v>179829.24</v>
      </c>
    </row>
    <row r="9" spans="1:11" x14ac:dyDescent="0.2">
      <c r="A9" s="9">
        <v>4</v>
      </c>
      <c r="B9" s="183" t="s">
        <v>140</v>
      </c>
      <c r="C9" s="128"/>
      <c r="D9" s="183" t="s">
        <v>141</v>
      </c>
      <c r="E9" s="128"/>
      <c r="F9" s="12">
        <v>35185</v>
      </c>
      <c r="G9" s="169" t="s">
        <v>142</v>
      </c>
      <c r="H9" s="169"/>
      <c r="I9" s="32">
        <v>216459.25</v>
      </c>
      <c r="J9" s="32">
        <f t="shared" si="0"/>
        <v>173167.40000000002</v>
      </c>
    </row>
    <row r="10" spans="1:11" x14ac:dyDescent="0.2">
      <c r="A10" s="9">
        <v>5</v>
      </c>
      <c r="B10" s="225" t="s">
        <v>1184</v>
      </c>
      <c r="C10" s="128"/>
      <c r="D10" s="137" t="s">
        <v>1182</v>
      </c>
      <c r="E10" s="128"/>
      <c r="F10" s="12">
        <v>42424</v>
      </c>
      <c r="G10" s="169"/>
      <c r="H10" s="169"/>
      <c r="I10" s="32">
        <v>134787.73000000001</v>
      </c>
      <c r="J10" s="32">
        <f t="shared" si="0"/>
        <v>107830.18400000001</v>
      </c>
      <c r="K10" s="107"/>
    </row>
    <row r="11" spans="1:11" x14ac:dyDescent="0.2">
      <c r="A11" s="9">
        <v>6</v>
      </c>
      <c r="B11" s="225" t="s">
        <v>1304</v>
      </c>
      <c r="C11" s="128"/>
      <c r="D11" s="137" t="s">
        <v>1182</v>
      </c>
      <c r="E11" s="128"/>
      <c r="F11" s="12">
        <v>42912</v>
      </c>
      <c r="G11" s="169"/>
      <c r="H11" s="169"/>
      <c r="I11" s="32">
        <v>108606.46</v>
      </c>
      <c r="J11" s="32">
        <f t="shared" si="0"/>
        <v>86885.168000000005</v>
      </c>
    </row>
    <row r="12" spans="1:11" x14ac:dyDescent="0.2">
      <c r="A12" s="9">
        <v>7</v>
      </c>
      <c r="B12" s="225" t="s">
        <v>1305</v>
      </c>
      <c r="C12" s="128"/>
      <c r="D12" s="225" t="s">
        <v>1306</v>
      </c>
      <c r="E12" s="128"/>
      <c r="F12" s="12">
        <v>43452</v>
      </c>
      <c r="G12" s="169"/>
      <c r="H12" s="169"/>
      <c r="I12" s="32">
        <v>230969.51</v>
      </c>
      <c r="J12" s="32">
        <f t="shared" si="0"/>
        <v>184775.60800000001</v>
      </c>
    </row>
    <row r="13" spans="1:11" x14ac:dyDescent="0.2">
      <c r="A13" s="9">
        <v>8</v>
      </c>
      <c r="B13" s="229" t="s">
        <v>1374</v>
      </c>
      <c r="C13" s="128"/>
      <c r="D13" s="230" t="s">
        <v>1182</v>
      </c>
      <c r="E13" s="128"/>
      <c r="F13" s="12">
        <v>43713</v>
      </c>
      <c r="G13" s="169"/>
      <c r="H13" s="169"/>
      <c r="I13" s="32">
        <v>89003.26</v>
      </c>
      <c r="J13" s="32">
        <f t="shared" si="0"/>
        <v>71202.607999999993</v>
      </c>
    </row>
    <row r="14" spans="1:11" x14ac:dyDescent="0.2">
      <c r="A14" s="9">
        <v>9</v>
      </c>
      <c r="B14" s="229" t="s">
        <v>1375</v>
      </c>
      <c r="C14" s="128"/>
      <c r="D14" s="229" t="s">
        <v>1376</v>
      </c>
      <c r="E14" s="128"/>
      <c r="F14" s="12">
        <v>43871</v>
      </c>
      <c r="G14" s="169"/>
      <c r="H14" s="169"/>
      <c r="I14" s="32">
        <v>118427.51</v>
      </c>
      <c r="J14" s="32">
        <f t="shared" si="0"/>
        <v>94742.008000000002</v>
      </c>
    </row>
    <row r="15" spans="1:11" x14ac:dyDescent="0.2">
      <c r="A15" s="9">
        <v>10</v>
      </c>
      <c r="B15" s="229" t="s">
        <v>1403</v>
      </c>
      <c r="C15" s="128"/>
      <c r="D15" s="230" t="s">
        <v>1182</v>
      </c>
      <c r="E15" s="128"/>
      <c r="F15" s="12">
        <v>43965</v>
      </c>
      <c r="G15" s="169"/>
      <c r="H15" s="169"/>
      <c r="I15" s="32">
        <v>82036.38</v>
      </c>
      <c r="J15" s="32">
        <f t="shared" si="0"/>
        <v>65629.104000000007</v>
      </c>
    </row>
    <row r="16" spans="1:11" x14ac:dyDescent="0.2">
      <c r="A16" s="9">
        <v>11</v>
      </c>
      <c r="B16" s="183" t="s">
        <v>1534</v>
      </c>
      <c r="C16" s="128"/>
      <c r="D16" s="183" t="s">
        <v>1533</v>
      </c>
      <c r="E16" s="128"/>
      <c r="F16" s="12">
        <v>44671</v>
      </c>
      <c r="G16" s="169" t="s">
        <v>1535</v>
      </c>
      <c r="H16" s="169"/>
      <c r="I16" s="32">
        <v>153011.4</v>
      </c>
      <c r="J16" s="32">
        <f t="shared" si="0"/>
        <v>122409.12</v>
      </c>
    </row>
    <row r="17" spans="1:10" x14ac:dyDescent="0.2">
      <c r="A17" s="9"/>
      <c r="B17" s="128"/>
      <c r="C17" s="128"/>
      <c r="D17" s="128"/>
      <c r="E17" s="128"/>
      <c r="F17" s="12"/>
      <c r="G17" s="169"/>
      <c r="H17" s="169"/>
      <c r="I17" s="32"/>
      <c r="J17" s="32"/>
    </row>
    <row r="18" spans="1:10" x14ac:dyDescent="0.2">
      <c r="A18" s="9"/>
      <c r="B18" s="128"/>
      <c r="C18" s="128"/>
      <c r="D18" s="128"/>
      <c r="E18" s="128"/>
      <c r="F18" s="12"/>
      <c r="G18" s="169"/>
      <c r="H18" s="169"/>
      <c r="I18" s="32"/>
      <c r="J18" s="32"/>
    </row>
    <row r="19" spans="1:10" x14ac:dyDescent="0.2">
      <c r="A19" s="13"/>
      <c r="B19" s="13"/>
      <c r="C19" s="13"/>
      <c r="D19" s="13"/>
      <c r="E19" s="13"/>
      <c r="F19" s="13"/>
      <c r="G19" s="13"/>
      <c r="H19" s="13" t="s">
        <v>33</v>
      </c>
      <c r="I19" s="33">
        <f>SUM(I6:I18)</f>
        <v>1643266.9</v>
      </c>
      <c r="J19" s="33">
        <f>SUM(J6:J18)</f>
        <v>1314613.52</v>
      </c>
    </row>
    <row r="20" spans="1:1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 x14ac:dyDescent="0.25">
      <c r="A21" s="131" t="s">
        <v>34</v>
      </c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 x14ac:dyDescent="0.2">
      <c r="A22" s="169" t="s">
        <v>23</v>
      </c>
      <c r="B22" s="169" t="s">
        <v>35</v>
      </c>
      <c r="C22" s="169"/>
      <c r="D22" s="169" t="s">
        <v>36</v>
      </c>
      <c r="E22" s="169" t="s">
        <v>37</v>
      </c>
      <c r="F22" s="169"/>
      <c r="G22" s="169" t="s">
        <v>38</v>
      </c>
      <c r="H22" s="169"/>
      <c r="I22" s="169" t="s">
        <v>39</v>
      </c>
      <c r="J22" s="169"/>
    </row>
    <row r="23" spans="1:10" x14ac:dyDescent="0.2">
      <c r="A23" s="169"/>
      <c r="B23" s="169"/>
      <c r="C23" s="169"/>
      <c r="D23" s="169"/>
      <c r="E23" s="169"/>
      <c r="F23" s="169"/>
      <c r="G23" s="169"/>
      <c r="H23" s="169"/>
      <c r="I23" s="169"/>
      <c r="J23" s="169"/>
    </row>
    <row r="24" spans="1:10" x14ac:dyDescent="0.2">
      <c r="A24" s="9">
        <v>1</v>
      </c>
      <c r="B24" s="128">
        <v>505956</v>
      </c>
      <c r="C24" s="128"/>
      <c r="D24" s="9">
        <v>79107</v>
      </c>
      <c r="E24" s="128" t="s">
        <v>145</v>
      </c>
      <c r="F24" s="128"/>
      <c r="G24" s="227" t="s">
        <v>855</v>
      </c>
      <c r="H24" s="228"/>
      <c r="I24" s="136">
        <v>266090.56</v>
      </c>
      <c r="J24" s="136"/>
    </row>
    <row r="25" spans="1:10" x14ac:dyDescent="0.2">
      <c r="A25" s="19">
        <v>2</v>
      </c>
      <c r="B25" s="164"/>
      <c r="C25" s="165"/>
      <c r="D25" s="19">
        <v>81565</v>
      </c>
      <c r="E25" s="164"/>
      <c r="F25" s="165"/>
      <c r="G25" s="164" t="s">
        <v>144</v>
      </c>
      <c r="H25" s="165"/>
      <c r="I25" s="166">
        <f>120938*1.05+3774.94</f>
        <v>130759.84000000001</v>
      </c>
      <c r="J25" s="167"/>
    </row>
    <row r="26" spans="1:10" x14ac:dyDescent="0.2">
      <c r="A26" s="19">
        <v>3</v>
      </c>
      <c r="B26" s="137"/>
      <c r="C26" s="137"/>
      <c r="D26" s="19">
        <v>83689</v>
      </c>
      <c r="E26" s="137"/>
      <c r="F26" s="137"/>
      <c r="G26" s="137" t="s">
        <v>910</v>
      </c>
      <c r="H26" s="137"/>
      <c r="I26" s="138">
        <f>117702*1.05+6644.8</f>
        <v>130231.90000000001</v>
      </c>
      <c r="J26" s="138"/>
    </row>
    <row r="27" spans="1:10" x14ac:dyDescent="0.2">
      <c r="A27" s="19">
        <v>4</v>
      </c>
      <c r="B27" s="137"/>
      <c r="C27" s="137"/>
      <c r="D27" s="19">
        <v>87806</v>
      </c>
      <c r="E27" s="137"/>
      <c r="F27" s="137"/>
      <c r="G27" s="137" t="s">
        <v>146</v>
      </c>
      <c r="H27" s="137"/>
      <c r="I27" s="138">
        <f>92613*1.05+4507.13</f>
        <v>101750.78000000001</v>
      </c>
      <c r="J27" s="138"/>
    </row>
    <row r="28" spans="1:10" x14ac:dyDescent="0.2">
      <c r="A28" s="19"/>
      <c r="B28" s="137"/>
      <c r="C28" s="137"/>
      <c r="D28" s="19">
        <v>87270</v>
      </c>
      <c r="E28" s="137" t="s">
        <v>863</v>
      </c>
      <c r="F28" s="137"/>
      <c r="G28" s="137"/>
      <c r="H28" s="137"/>
      <c r="I28" s="138">
        <v>10974.8</v>
      </c>
      <c r="J28" s="138"/>
    </row>
    <row r="29" spans="1:10" x14ac:dyDescent="0.2">
      <c r="A29" s="19"/>
      <c r="B29" s="137"/>
      <c r="C29" s="137"/>
      <c r="D29" s="19">
        <v>88870</v>
      </c>
      <c r="E29" s="137" t="s">
        <v>911</v>
      </c>
      <c r="F29" s="137"/>
      <c r="G29" s="137"/>
      <c r="H29" s="137"/>
      <c r="I29" s="138">
        <v>4469</v>
      </c>
      <c r="J29" s="138"/>
    </row>
    <row r="30" spans="1:10" x14ac:dyDescent="0.2">
      <c r="A30" s="19"/>
      <c r="B30" s="137"/>
      <c r="C30" s="137"/>
      <c r="D30" s="19">
        <v>93896</v>
      </c>
      <c r="E30" s="137" t="s">
        <v>1027</v>
      </c>
      <c r="F30" s="137"/>
      <c r="G30" s="137"/>
      <c r="H30" s="137"/>
      <c r="I30" s="138">
        <v>12562.2</v>
      </c>
      <c r="J30" s="138"/>
    </row>
    <row r="31" spans="1:10" x14ac:dyDescent="0.2">
      <c r="A31" s="82"/>
      <c r="B31" s="198"/>
      <c r="C31" s="198"/>
      <c r="D31" s="82"/>
      <c r="E31" s="198"/>
      <c r="F31" s="198"/>
      <c r="G31" s="198" t="s">
        <v>1532</v>
      </c>
      <c r="H31" s="198"/>
      <c r="I31" s="199">
        <v>53850</v>
      </c>
      <c r="J31" s="199"/>
    </row>
    <row r="32" spans="1:10" x14ac:dyDescent="0.2">
      <c r="A32" s="9"/>
      <c r="B32" s="128"/>
      <c r="C32" s="128"/>
      <c r="D32" s="9"/>
      <c r="E32" s="128"/>
      <c r="F32" s="128"/>
      <c r="G32" s="137" t="s">
        <v>1411</v>
      </c>
      <c r="H32" s="128"/>
      <c r="I32" s="136">
        <v>139050</v>
      </c>
      <c r="J32" s="136"/>
    </row>
    <row r="33" spans="1:10" x14ac:dyDescent="0.2">
      <c r="A33" s="9"/>
      <c r="B33" s="128"/>
      <c r="C33" s="128"/>
      <c r="D33" s="9"/>
      <c r="E33" s="128"/>
      <c r="F33" s="128"/>
      <c r="G33" s="128"/>
      <c r="H33" s="128"/>
      <c r="I33" s="136"/>
      <c r="J33" s="136"/>
    </row>
    <row r="34" spans="1:10" ht="13.5" thickBot="1" x14ac:dyDescent="0.25">
      <c r="A34" s="9"/>
      <c r="B34" s="128"/>
      <c r="C34" s="128"/>
      <c r="D34" s="9"/>
      <c r="E34" s="128"/>
      <c r="F34" s="128"/>
      <c r="G34" s="128"/>
      <c r="H34" s="128"/>
      <c r="I34" s="226"/>
      <c r="J34" s="226"/>
    </row>
    <row r="35" spans="1:10" ht="13.5" thickTop="1" x14ac:dyDescent="0.2">
      <c r="A35" s="13"/>
      <c r="B35" s="13"/>
      <c r="C35" s="13"/>
      <c r="D35" s="13"/>
      <c r="E35" s="13"/>
      <c r="F35" s="13"/>
      <c r="G35" s="13"/>
      <c r="H35" s="13" t="s">
        <v>33</v>
      </c>
      <c r="I35" s="140">
        <f>SUM(I24:J34)</f>
        <v>849739.08000000007</v>
      </c>
      <c r="J35" s="140"/>
    </row>
    <row r="36" spans="1:10" x14ac:dyDescent="0.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 x14ac:dyDescent="0.25">
      <c r="A37" s="15" t="s">
        <v>46</v>
      </c>
      <c r="B37" s="16"/>
      <c r="C37" s="16"/>
      <c r="D37" s="16"/>
      <c r="E37" s="16"/>
      <c r="F37" s="16"/>
      <c r="G37" s="16"/>
      <c r="H37" s="16"/>
      <c r="I37" s="149" t="s">
        <v>47</v>
      </c>
      <c r="J37" s="150"/>
    </row>
    <row r="38" spans="1:10" x14ac:dyDescent="0.2">
      <c r="A38" s="144" t="s">
        <v>48</v>
      </c>
      <c r="B38" s="144"/>
      <c r="C38" s="144"/>
      <c r="D38" s="144"/>
      <c r="E38" s="144"/>
      <c r="F38" s="144"/>
      <c r="G38" s="144"/>
      <c r="H38" s="144"/>
      <c r="I38" s="148">
        <f>I19*80%</f>
        <v>1314613.52</v>
      </c>
      <c r="J38" s="148"/>
    </row>
    <row r="39" spans="1:10" x14ac:dyDescent="0.2">
      <c r="A39" s="144" t="s">
        <v>49</v>
      </c>
      <c r="B39" s="144"/>
      <c r="C39" s="144"/>
      <c r="D39" s="144"/>
      <c r="E39" s="144"/>
      <c r="F39" s="144"/>
      <c r="G39" s="144"/>
      <c r="H39" s="144"/>
      <c r="I39" s="184">
        <f>I34</f>
        <v>0</v>
      </c>
      <c r="J39" s="184"/>
    </row>
    <row r="40" spans="1:10" x14ac:dyDescent="0.2">
      <c r="A40" s="231" t="s">
        <v>1079</v>
      </c>
      <c r="B40" s="144"/>
      <c r="C40" s="144"/>
      <c r="D40" s="144"/>
      <c r="E40" s="144"/>
      <c r="F40" s="144"/>
      <c r="G40" s="144"/>
      <c r="H40" s="144"/>
      <c r="I40" s="184">
        <v>120000</v>
      </c>
      <c r="J40" s="184"/>
    </row>
    <row r="41" spans="1:10" x14ac:dyDescent="0.2">
      <c r="A41" s="231" t="s">
        <v>1247</v>
      </c>
      <c r="B41" s="144"/>
      <c r="C41" s="144"/>
      <c r="D41" s="144"/>
      <c r="E41" s="144"/>
      <c r="F41" s="144"/>
      <c r="G41" s="144"/>
      <c r="H41" s="144"/>
      <c r="I41" s="184">
        <v>-120000</v>
      </c>
      <c r="J41" s="184"/>
    </row>
    <row r="42" spans="1:10" x14ac:dyDescent="0.2">
      <c r="A42" s="134" t="s">
        <v>1566</v>
      </c>
      <c r="B42" s="134"/>
      <c r="C42" s="134"/>
      <c r="D42" s="134"/>
      <c r="E42" s="134"/>
      <c r="F42" s="134"/>
      <c r="G42" s="134"/>
      <c r="H42" s="134"/>
      <c r="I42" s="135">
        <v>-80438.94</v>
      </c>
      <c r="J42" s="135"/>
    </row>
    <row r="43" spans="1:10" x14ac:dyDescent="0.2">
      <c r="A43" s="134" t="s">
        <v>1627</v>
      </c>
      <c r="B43" s="134"/>
      <c r="C43" s="134"/>
      <c r="D43" s="134"/>
      <c r="E43" s="134"/>
      <c r="F43" s="134"/>
      <c r="G43" s="134"/>
      <c r="H43" s="134"/>
      <c r="I43" s="135">
        <v>-63900</v>
      </c>
      <c r="J43" s="135"/>
    </row>
    <row r="44" spans="1:10" x14ac:dyDescent="0.2">
      <c r="A44" s="231"/>
      <c r="B44" s="144"/>
      <c r="C44" s="144"/>
      <c r="D44" s="144"/>
      <c r="E44" s="144"/>
      <c r="F44" s="144"/>
      <c r="G44" s="144"/>
      <c r="H44" s="144"/>
      <c r="I44" s="184"/>
      <c r="J44" s="184"/>
    </row>
    <row r="45" spans="1:10" ht="13.5" thickBot="1" x14ac:dyDescent="0.25">
      <c r="A45" s="144" t="s">
        <v>50</v>
      </c>
      <c r="B45" s="144"/>
      <c r="C45" s="144"/>
      <c r="D45" s="144"/>
      <c r="E45" s="144"/>
      <c r="F45" s="144"/>
      <c r="G45" s="144"/>
      <c r="H45" s="144"/>
      <c r="I45" s="145">
        <f>-I35</f>
        <v>-849739.08000000007</v>
      </c>
      <c r="J45" s="145"/>
    </row>
    <row r="46" spans="1:10" ht="13.5" thickTop="1" x14ac:dyDescent="0.2">
      <c r="H46" s="18" t="s">
        <v>33</v>
      </c>
      <c r="I46" s="129">
        <f>SUM(I38:J45)</f>
        <v>320535.5</v>
      </c>
      <c r="J46" s="130"/>
    </row>
    <row r="48" spans="1:10" ht="15" x14ac:dyDescent="0.25">
      <c r="A48" s="131" t="s">
        <v>51</v>
      </c>
      <c r="B48" s="132"/>
      <c r="C48" s="132"/>
      <c r="D48" s="132"/>
      <c r="E48" s="132"/>
      <c r="F48" s="132"/>
      <c r="G48" s="132"/>
      <c r="H48" s="132"/>
      <c r="I48" s="132"/>
      <c r="J48" s="133"/>
    </row>
    <row r="49" spans="1:10" ht="12.75" customHeight="1" x14ac:dyDescent="0.2">
      <c r="A49" s="139" t="s">
        <v>143</v>
      </c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ht="12.75" customHeight="1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  <row r="53" spans="1:10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</row>
    <row r="54" spans="1:10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</row>
  </sheetData>
  <mergeCells count="120">
    <mergeCell ref="A49:J54"/>
    <mergeCell ref="B33:C33"/>
    <mergeCell ref="A40:H40"/>
    <mergeCell ref="I40:J40"/>
    <mergeCell ref="I46:J46"/>
    <mergeCell ref="I41:J41"/>
    <mergeCell ref="A39:H39"/>
    <mergeCell ref="I39:J39"/>
    <mergeCell ref="A38:H38"/>
    <mergeCell ref="I45:J45"/>
    <mergeCell ref="I33:J33"/>
    <mergeCell ref="A41:H41"/>
    <mergeCell ref="A48:J48"/>
    <mergeCell ref="I38:J38"/>
    <mergeCell ref="A45:H45"/>
    <mergeCell ref="B34:C34"/>
    <mergeCell ref="E34:F34"/>
    <mergeCell ref="G34:H34"/>
    <mergeCell ref="A43:H43"/>
    <mergeCell ref="I43:J43"/>
    <mergeCell ref="A44:H44"/>
    <mergeCell ref="I44:J44"/>
    <mergeCell ref="I35:J35"/>
    <mergeCell ref="A42:H42"/>
    <mergeCell ref="A3:J3"/>
    <mergeCell ref="A4:A5"/>
    <mergeCell ref="B4:E4"/>
    <mergeCell ref="F4:F5"/>
    <mergeCell ref="G4:H5"/>
    <mergeCell ref="B5:C5"/>
    <mergeCell ref="D5:E5"/>
    <mergeCell ref="I4:I5"/>
    <mergeCell ref="D12:E12"/>
    <mergeCell ref="G12:H12"/>
    <mergeCell ref="B8:C8"/>
    <mergeCell ref="D8:E8"/>
    <mergeCell ref="G8:H8"/>
    <mergeCell ref="J4:J5"/>
    <mergeCell ref="D7:E7"/>
    <mergeCell ref="G7:H7"/>
    <mergeCell ref="B6:C6"/>
    <mergeCell ref="D6:E6"/>
    <mergeCell ref="G6:H6"/>
    <mergeCell ref="B7:C7"/>
    <mergeCell ref="B9:C9"/>
    <mergeCell ref="D9:E9"/>
    <mergeCell ref="G9:H9"/>
    <mergeCell ref="B12:C12"/>
    <mergeCell ref="I42:J42"/>
    <mergeCell ref="I34:J34"/>
    <mergeCell ref="E33:F33"/>
    <mergeCell ref="G33:H33"/>
    <mergeCell ref="B18:C18"/>
    <mergeCell ref="G31:H31"/>
    <mergeCell ref="B26:C26"/>
    <mergeCell ref="B25:C25"/>
    <mergeCell ref="E25:F25"/>
    <mergeCell ref="I32:J32"/>
    <mergeCell ref="B31:C31"/>
    <mergeCell ref="D18:E18"/>
    <mergeCell ref="G18:H18"/>
    <mergeCell ref="G30:H30"/>
    <mergeCell ref="I31:J31"/>
    <mergeCell ref="I28:J28"/>
    <mergeCell ref="I37:J37"/>
    <mergeCell ref="G29:H29"/>
    <mergeCell ref="I30:J30"/>
    <mergeCell ref="I29:J29"/>
    <mergeCell ref="E32:F32"/>
    <mergeCell ref="E26:F26"/>
    <mergeCell ref="G26:H26"/>
    <mergeCell ref="G28:H28"/>
    <mergeCell ref="G11:H11"/>
    <mergeCell ref="B15:C15"/>
    <mergeCell ref="D15:E15"/>
    <mergeCell ref="G15:H15"/>
    <mergeCell ref="B10:C10"/>
    <mergeCell ref="G13:H13"/>
    <mergeCell ref="B14:C14"/>
    <mergeCell ref="D14:E14"/>
    <mergeCell ref="G14:H14"/>
    <mergeCell ref="B13:C13"/>
    <mergeCell ref="D13:E13"/>
    <mergeCell ref="D10:E10"/>
    <mergeCell ref="G10:H10"/>
    <mergeCell ref="B11:C11"/>
    <mergeCell ref="D11:E11"/>
    <mergeCell ref="B16:C16"/>
    <mergeCell ref="D16:E16"/>
    <mergeCell ref="G16:H16"/>
    <mergeCell ref="B17:C17"/>
    <mergeCell ref="I25:J25"/>
    <mergeCell ref="I22:J23"/>
    <mergeCell ref="G24:H24"/>
    <mergeCell ref="B24:C24"/>
    <mergeCell ref="G25:H25"/>
    <mergeCell ref="G22:H23"/>
    <mergeCell ref="B22:C23"/>
    <mergeCell ref="D22:D23"/>
    <mergeCell ref="E22:F23"/>
    <mergeCell ref="E24:F24"/>
    <mergeCell ref="D17:E17"/>
    <mergeCell ref="G17:H17"/>
    <mergeCell ref="A21:J21"/>
    <mergeCell ref="A22:A23"/>
    <mergeCell ref="I26:J26"/>
    <mergeCell ref="I27:J27"/>
    <mergeCell ref="I24:J24"/>
    <mergeCell ref="G32:H32"/>
    <mergeCell ref="B27:C27"/>
    <mergeCell ref="E27:F27"/>
    <mergeCell ref="G27:H27"/>
    <mergeCell ref="B28:C28"/>
    <mergeCell ref="E28:F28"/>
    <mergeCell ref="B30:C30"/>
    <mergeCell ref="B32:C32"/>
    <mergeCell ref="B29:C29"/>
    <mergeCell ref="E29:F29"/>
    <mergeCell ref="E31:F31"/>
    <mergeCell ref="E30:F30"/>
  </mergeCells>
  <phoneticPr fontId="6" type="noConversion"/>
  <pageMargins left="0.75" right="0.75" top="1" bottom="1" header="0.5" footer="0.5"/>
  <pageSetup scale="9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8">
    <pageSetUpPr fitToPage="1"/>
  </sheetPr>
  <dimension ref="A1:K62"/>
  <sheetViews>
    <sheetView topLeftCell="A25" workbookViewId="0">
      <selection activeCell="I42" sqref="I42:J42"/>
    </sheetView>
  </sheetViews>
  <sheetFormatPr defaultRowHeight="12.75" x14ac:dyDescent="0.2"/>
  <cols>
    <col min="6" max="6" width="11.42578125" customWidth="1"/>
    <col min="7" max="7" width="13.140625" customWidth="1"/>
    <col min="8" max="8" width="11.42578125" customWidth="1"/>
    <col min="9" max="9" width="13.140625" customWidth="1"/>
    <col min="10" max="11" width="12.710937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523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1" x14ac:dyDescent="0.2">
      <c r="A6" s="9">
        <v>1</v>
      </c>
      <c r="B6" s="128">
        <v>5734185</v>
      </c>
      <c r="C6" s="128"/>
      <c r="D6" s="128">
        <v>5734193</v>
      </c>
      <c r="E6" s="128"/>
      <c r="F6" s="12">
        <v>33456</v>
      </c>
      <c r="G6" s="169" t="s">
        <v>524</v>
      </c>
      <c r="H6" s="169"/>
      <c r="I6" s="32">
        <v>439244.92</v>
      </c>
      <c r="J6" s="32">
        <f>I6*0.8</f>
        <v>351395.93599999999</v>
      </c>
    </row>
    <row r="7" spans="1:11" x14ac:dyDescent="0.2">
      <c r="A7" s="9">
        <v>2</v>
      </c>
      <c r="B7" s="128">
        <v>5734207</v>
      </c>
      <c r="C7" s="128"/>
      <c r="D7" s="128">
        <v>5734290</v>
      </c>
      <c r="E7" s="128"/>
      <c r="F7" s="12">
        <v>34225</v>
      </c>
      <c r="G7" s="169" t="s">
        <v>525</v>
      </c>
      <c r="H7" s="169"/>
      <c r="I7" s="32">
        <v>879752.76</v>
      </c>
      <c r="J7" s="32">
        <f>I7*0.8</f>
        <v>703802.2080000001</v>
      </c>
    </row>
    <row r="8" spans="1:11" x14ac:dyDescent="0.2">
      <c r="A8" s="9">
        <v>3</v>
      </c>
      <c r="B8" s="128">
        <v>5748283</v>
      </c>
      <c r="C8" s="128"/>
      <c r="D8" s="128">
        <v>5748283</v>
      </c>
      <c r="E8" s="128"/>
      <c r="F8" s="12">
        <v>35039</v>
      </c>
      <c r="G8" s="169" t="s">
        <v>526</v>
      </c>
      <c r="H8" s="169"/>
      <c r="I8" s="32">
        <v>126686.65</v>
      </c>
      <c r="J8" s="32">
        <f>I8*0.8</f>
        <v>101349.32</v>
      </c>
    </row>
    <row r="9" spans="1:11" x14ac:dyDescent="0.2">
      <c r="A9" s="9">
        <v>4</v>
      </c>
      <c r="B9" s="128">
        <v>5748291</v>
      </c>
      <c r="C9" s="128"/>
      <c r="D9" s="128">
        <v>5748291</v>
      </c>
      <c r="E9" s="128"/>
      <c r="F9" s="12">
        <v>35039</v>
      </c>
      <c r="G9" s="169" t="s">
        <v>527</v>
      </c>
      <c r="H9" s="169"/>
      <c r="I9" s="32">
        <v>104992.1</v>
      </c>
      <c r="J9" s="32">
        <f>I9*0.8</f>
        <v>83993.680000000008</v>
      </c>
    </row>
    <row r="10" spans="1:11" x14ac:dyDescent="0.2">
      <c r="A10" s="9">
        <v>5</v>
      </c>
      <c r="B10" s="128">
        <v>5746213</v>
      </c>
      <c r="C10" s="128"/>
      <c r="D10" s="128">
        <v>5746213</v>
      </c>
      <c r="E10" s="128"/>
      <c r="F10" s="12">
        <v>35039</v>
      </c>
      <c r="G10" s="169" t="s">
        <v>528</v>
      </c>
      <c r="H10" s="169"/>
      <c r="I10" s="32">
        <v>87883.74</v>
      </c>
      <c r="J10" s="32">
        <f>I10*0.8</f>
        <v>70306.992000000013</v>
      </c>
      <c r="K10" s="107"/>
    </row>
    <row r="11" spans="1:11" x14ac:dyDescent="0.2">
      <c r="A11" s="9">
        <v>6</v>
      </c>
      <c r="B11" s="128">
        <v>5738199</v>
      </c>
      <c r="C11" s="128"/>
      <c r="D11" s="128"/>
      <c r="E11" s="128"/>
      <c r="F11" s="12"/>
      <c r="G11" s="169" t="s">
        <v>529</v>
      </c>
      <c r="H11" s="169"/>
      <c r="I11" s="32"/>
      <c r="J11" s="32"/>
    </row>
    <row r="12" spans="1:11" x14ac:dyDescent="0.2">
      <c r="A12" s="9">
        <v>7</v>
      </c>
      <c r="B12" s="128">
        <v>5752671</v>
      </c>
      <c r="C12" s="128"/>
      <c r="D12" s="128">
        <v>5752892</v>
      </c>
      <c r="E12" s="128"/>
      <c r="F12" s="12">
        <v>41093</v>
      </c>
      <c r="G12" s="169"/>
      <c r="H12" s="169"/>
      <c r="I12" s="32">
        <v>300379.06</v>
      </c>
      <c r="J12" s="32">
        <f t="shared" ref="J12:J25" si="0">I12*0.8</f>
        <v>240303.24800000002</v>
      </c>
    </row>
    <row r="13" spans="1:11" x14ac:dyDescent="0.2">
      <c r="A13" s="9">
        <v>8</v>
      </c>
      <c r="B13" s="128">
        <v>5752663</v>
      </c>
      <c r="C13" s="128"/>
      <c r="D13" s="128">
        <v>5752833</v>
      </c>
      <c r="E13" s="128"/>
      <c r="F13" s="12">
        <v>41093</v>
      </c>
      <c r="G13" s="169"/>
      <c r="H13" s="169"/>
      <c r="I13" s="32">
        <v>242144.83</v>
      </c>
      <c r="J13" s="32">
        <f t="shared" si="0"/>
        <v>193715.864</v>
      </c>
    </row>
    <row r="14" spans="1:11" x14ac:dyDescent="0.2">
      <c r="A14" s="9">
        <v>9</v>
      </c>
      <c r="B14" s="128">
        <v>5738539</v>
      </c>
      <c r="C14" s="128"/>
      <c r="D14" s="128"/>
      <c r="E14" s="128"/>
      <c r="F14" s="12">
        <v>41093</v>
      </c>
      <c r="G14" s="169"/>
      <c r="H14" s="169"/>
      <c r="I14" s="32">
        <v>179467.64</v>
      </c>
      <c r="J14" s="32">
        <f t="shared" si="0"/>
        <v>143574.11200000002</v>
      </c>
    </row>
    <row r="15" spans="1:11" x14ac:dyDescent="0.2">
      <c r="A15" s="9">
        <v>10</v>
      </c>
      <c r="B15" s="128">
        <v>5740231</v>
      </c>
      <c r="C15" s="128"/>
      <c r="D15" s="230"/>
      <c r="E15" s="128"/>
      <c r="F15" s="12">
        <v>41470</v>
      </c>
      <c r="G15" s="169"/>
      <c r="H15" s="169"/>
      <c r="I15" s="32">
        <v>139530.03</v>
      </c>
      <c r="J15" s="32">
        <f t="shared" si="0"/>
        <v>111624.024</v>
      </c>
    </row>
    <row r="16" spans="1:11" x14ac:dyDescent="0.2">
      <c r="A16" s="9">
        <v>11</v>
      </c>
      <c r="B16" s="128">
        <v>5746256</v>
      </c>
      <c r="C16" s="128"/>
      <c r="D16" s="128">
        <v>5746302</v>
      </c>
      <c r="E16" s="128"/>
      <c r="F16" s="12">
        <v>41528</v>
      </c>
      <c r="G16" s="169"/>
      <c r="H16" s="169"/>
      <c r="I16" s="32">
        <v>216765.05</v>
      </c>
      <c r="J16" s="32">
        <f t="shared" si="0"/>
        <v>173412.04</v>
      </c>
    </row>
    <row r="17" spans="1:10" x14ac:dyDescent="0.2">
      <c r="A17" s="9">
        <v>12</v>
      </c>
      <c r="B17" s="128">
        <v>5748135</v>
      </c>
      <c r="C17" s="128"/>
      <c r="D17" s="230"/>
      <c r="E17" s="128"/>
      <c r="F17" s="12">
        <v>41528</v>
      </c>
      <c r="G17" s="169"/>
      <c r="H17" s="169"/>
      <c r="I17" s="32">
        <v>265792.90000000002</v>
      </c>
      <c r="J17" s="32">
        <f t="shared" si="0"/>
        <v>212634.32000000004</v>
      </c>
    </row>
    <row r="18" spans="1:10" x14ac:dyDescent="0.2">
      <c r="A18" s="9">
        <v>13</v>
      </c>
      <c r="B18" s="128">
        <v>5746590</v>
      </c>
      <c r="C18" s="128"/>
      <c r="D18" s="128">
        <v>5746612</v>
      </c>
      <c r="E18" s="128"/>
      <c r="F18" s="12">
        <v>42544</v>
      </c>
      <c r="G18" s="169"/>
      <c r="H18" s="169"/>
      <c r="I18" s="32">
        <v>241073.34</v>
      </c>
      <c r="J18" s="32">
        <f t="shared" si="0"/>
        <v>192858.67200000002</v>
      </c>
    </row>
    <row r="19" spans="1:10" x14ac:dyDescent="0.2">
      <c r="A19" s="9">
        <v>14</v>
      </c>
      <c r="B19" s="128">
        <v>5748224</v>
      </c>
      <c r="C19" s="128"/>
      <c r="D19" s="128"/>
      <c r="E19" s="128"/>
      <c r="F19" s="12">
        <v>42544</v>
      </c>
      <c r="G19" s="169"/>
      <c r="H19" s="169"/>
      <c r="I19" s="32">
        <v>220722.68</v>
      </c>
      <c r="J19" s="32">
        <f t="shared" si="0"/>
        <v>176578.144</v>
      </c>
    </row>
    <row r="20" spans="1:10" x14ac:dyDescent="0.2">
      <c r="A20" s="9">
        <v>15</v>
      </c>
      <c r="B20" s="128">
        <v>5740363</v>
      </c>
      <c r="C20" s="128"/>
      <c r="D20" s="128"/>
      <c r="E20" s="128"/>
      <c r="F20" s="12">
        <v>43698</v>
      </c>
      <c r="G20" s="169"/>
      <c r="H20" s="169"/>
      <c r="I20" s="32">
        <v>238149.76000000001</v>
      </c>
      <c r="J20" s="32">
        <f t="shared" si="0"/>
        <v>190519.80800000002</v>
      </c>
    </row>
    <row r="21" spans="1:10" x14ac:dyDescent="0.2">
      <c r="A21" s="9">
        <v>16</v>
      </c>
      <c r="B21" s="128">
        <v>5771110</v>
      </c>
      <c r="C21" s="128"/>
      <c r="D21" s="128"/>
      <c r="E21" s="128"/>
      <c r="F21" s="12">
        <v>43698</v>
      </c>
      <c r="G21" s="169"/>
      <c r="H21" s="169"/>
      <c r="I21" s="32">
        <v>405450.83</v>
      </c>
      <c r="J21" s="32">
        <f t="shared" si="0"/>
        <v>324360.66400000005</v>
      </c>
    </row>
    <row r="22" spans="1:10" x14ac:dyDescent="0.2">
      <c r="A22" s="9">
        <v>17</v>
      </c>
      <c r="B22" s="128">
        <v>5752566</v>
      </c>
      <c r="C22" s="128"/>
      <c r="D22" s="128"/>
      <c r="E22" s="128"/>
      <c r="F22" s="12">
        <v>43698</v>
      </c>
      <c r="G22" s="169"/>
      <c r="H22" s="169"/>
      <c r="I22" s="32">
        <v>361950.61</v>
      </c>
      <c r="J22" s="32">
        <f t="shared" si="0"/>
        <v>289560.48800000001</v>
      </c>
    </row>
    <row r="23" spans="1:10" x14ac:dyDescent="0.2">
      <c r="A23" s="9">
        <v>18</v>
      </c>
      <c r="B23" s="128">
        <v>5752515</v>
      </c>
      <c r="C23" s="128"/>
      <c r="D23" s="128"/>
      <c r="E23" s="128"/>
      <c r="F23" s="12">
        <v>44089</v>
      </c>
      <c r="G23" s="169"/>
      <c r="H23" s="169"/>
      <c r="I23" s="32">
        <v>333712.43</v>
      </c>
      <c r="J23" s="32">
        <f t="shared" si="0"/>
        <v>266969.94400000002</v>
      </c>
    </row>
    <row r="24" spans="1:10" x14ac:dyDescent="0.2">
      <c r="A24" s="9">
        <v>19</v>
      </c>
      <c r="B24" s="128">
        <v>5746656</v>
      </c>
      <c r="C24" s="128"/>
      <c r="D24" s="128"/>
      <c r="E24" s="128"/>
      <c r="F24" s="12">
        <v>44215</v>
      </c>
      <c r="G24" s="261" t="s">
        <v>1439</v>
      </c>
      <c r="H24" s="169"/>
      <c r="I24" s="32">
        <v>328358.08</v>
      </c>
      <c r="J24" s="32">
        <f t="shared" si="0"/>
        <v>262686.46400000004</v>
      </c>
    </row>
    <row r="25" spans="1:10" x14ac:dyDescent="0.2">
      <c r="A25" s="9">
        <v>20</v>
      </c>
      <c r="B25" s="128">
        <v>5738245</v>
      </c>
      <c r="C25" s="128"/>
      <c r="D25" s="128"/>
      <c r="E25" s="128"/>
      <c r="F25" s="12">
        <v>44218</v>
      </c>
      <c r="G25" s="261" t="s">
        <v>1440</v>
      </c>
      <c r="H25" s="169"/>
      <c r="I25" s="32">
        <v>337318.75</v>
      </c>
      <c r="J25" s="32">
        <f t="shared" si="0"/>
        <v>269855</v>
      </c>
    </row>
    <row r="26" spans="1:10" x14ac:dyDescent="0.2">
      <c r="A26" s="9"/>
      <c r="B26" s="128"/>
      <c r="C26" s="128"/>
      <c r="D26" s="128"/>
      <c r="E26" s="128"/>
      <c r="F26" s="12"/>
      <c r="G26" s="169"/>
      <c r="H26" s="169"/>
      <c r="I26" s="32"/>
      <c r="J26" s="32"/>
    </row>
    <row r="27" spans="1:10" x14ac:dyDescent="0.2">
      <c r="A27" s="9"/>
      <c r="B27" s="128"/>
      <c r="C27" s="128"/>
      <c r="D27" s="128"/>
      <c r="E27" s="128"/>
      <c r="F27" s="12"/>
      <c r="G27" s="169"/>
      <c r="H27" s="169"/>
      <c r="I27" s="32"/>
      <c r="J27" s="32"/>
    </row>
    <row r="28" spans="1:10" x14ac:dyDescent="0.2">
      <c r="A28" s="9"/>
      <c r="B28" s="128"/>
      <c r="C28" s="128"/>
      <c r="D28" s="128"/>
      <c r="E28" s="128"/>
      <c r="F28" s="12"/>
      <c r="G28" s="169"/>
      <c r="H28" s="169"/>
      <c r="I28" s="32"/>
      <c r="J28" s="32"/>
    </row>
    <row r="29" spans="1:10" x14ac:dyDescent="0.2">
      <c r="A29" s="9"/>
      <c r="B29" s="128"/>
      <c r="C29" s="128"/>
      <c r="D29" s="128"/>
      <c r="E29" s="128"/>
      <c r="F29" s="12"/>
      <c r="G29" s="169"/>
      <c r="H29" s="169"/>
      <c r="I29" s="32"/>
      <c r="J29" s="32"/>
    </row>
    <row r="30" spans="1:10" x14ac:dyDescent="0.2">
      <c r="A30" s="13"/>
      <c r="B30" s="13"/>
      <c r="C30" s="13"/>
      <c r="D30" s="13"/>
      <c r="E30" s="13"/>
      <c r="F30" s="13"/>
      <c r="G30" s="13"/>
      <c r="H30" s="13" t="s">
        <v>33</v>
      </c>
      <c r="I30" s="33">
        <f>SUM(I6:I29)</f>
        <v>5449376.1600000001</v>
      </c>
      <c r="J30" s="33">
        <f>SUM(J6:J29)</f>
        <v>4359500.9280000003</v>
      </c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131" t="s">
        <v>34</v>
      </c>
      <c r="B32" s="132"/>
      <c r="C32" s="132"/>
      <c r="D32" s="132"/>
      <c r="E32" s="132"/>
      <c r="F32" s="132"/>
      <c r="G32" s="132"/>
      <c r="H32" s="132"/>
      <c r="I32" s="132"/>
      <c r="J32" s="133"/>
    </row>
    <row r="33" spans="1:10" x14ac:dyDescent="0.2">
      <c r="A33" s="169" t="s">
        <v>23</v>
      </c>
      <c r="B33" s="169" t="s">
        <v>35</v>
      </c>
      <c r="C33" s="169"/>
      <c r="D33" s="169" t="s">
        <v>36</v>
      </c>
      <c r="E33" s="169" t="s">
        <v>37</v>
      </c>
      <c r="F33" s="169"/>
      <c r="G33" s="169" t="s">
        <v>38</v>
      </c>
      <c r="H33" s="169"/>
      <c r="I33" s="169" t="s">
        <v>39</v>
      </c>
      <c r="J33" s="169"/>
    </row>
    <row r="34" spans="1:10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</row>
    <row r="35" spans="1:10" x14ac:dyDescent="0.2">
      <c r="A35" s="9">
        <v>1</v>
      </c>
      <c r="B35" s="183" t="s">
        <v>530</v>
      </c>
      <c r="C35" s="128"/>
      <c r="D35" s="9">
        <v>6450</v>
      </c>
      <c r="E35" s="182">
        <v>35612</v>
      </c>
      <c r="F35" s="128"/>
      <c r="G35" s="128" t="s">
        <v>531</v>
      </c>
      <c r="H35" s="128"/>
      <c r="I35" s="136">
        <v>612943</v>
      </c>
      <c r="J35" s="136"/>
    </row>
    <row r="36" spans="1:10" x14ac:dyDescent="0.2">
      <c r="A36" s="9">
        <v>2</v>
      </c>
      <c r="B36" s="183" t="s">
        <v>532</v>
      </c>
      <c r="C36" s="128"/>
      <c r="D36" s="9">
        <v>7375</v>
      </c>
      <c r="E36" s="182">
        <v>35855</v>
      </c>
      <c r="F36" s="128"/>
      <c r="G36" s="128">
        <v>5705001</v>
      </c>
      <c r="H36" s="128"/>
      <c r="I36" s="136">
        <v>285319</v>
      </c>
      <c r="J36" s="136"/>
    </row>
    <row r="37" spans="1:10" x14ac:dyDescent="0.2">
      <c r="A37" s="9">
        <v>3</v>
      </c>
      <c r="B37" s="183" t="s">
        <v>533</v>
      </c>
      <c r="C37" s="128"/>
      <c r="D37" s="9">
        <v>11735</v>
      </c>
      <c r="E37" s="182">
        <v>36678</v>
      </c>
      <c r="F37" s="128"/>
      <c r="G37" s="128" t="s">
        <v>534</v>
      </c>
      <c r="H37" s="128"/>
      <c r="I37" s="136">
        <f>536802-124215.86</f>
        <v>412586.14</v>
      </c>
      <c r="J37" s="136"/>
    </row>
    <row r="38" spans="1:10" x14ac:dyDescent="0.2">
      <c r="A38" s="9">
        <v>4</v>
      </c>
      <c r="B38" s="128"/>
      <c r="C38" s="128"/>
      <c r="D38" s="9">
        <v>83322</v>
      </c>
      <c r="E38" s="128" t="s">
        <v>476</v>
      </c>
      <c r="F38" s="128"/>
      <c r="G38" s="128" t="s">
        <v>536</v>
      </c>
      <c r="H38" s="128"/>
      <c r="I38" s="136">
        <v>494</v>
      </c>
      <c r="J38" s="136"/>
    </row>
    <row r="39" spans="1:10" x14ac:dyDescent="0.2">
      <c r="A39" s="9">
        <v>4</v>
      </c>
      <c r="B39" s="128">
        <v>478766</v>
      </c>
      <c r="C39" s="128"/>
      <c r="D39" s="9">
        <v>83322</v>
      </c>
      <c r="E39" s="182">
        <v>42070</v>
      </c>
      <c r="F39" s="128"/>
      <c r="G39" s="128" t="s">
        <v>877</v>
      </c>
      <c r="H39" s="128"/>
      <c r="I39" s="136">
        <v>3952</v>
      </c>
      <c r="J39" s="136"/>
    </row>
    <row r="40" spans="1:10" x14ac:dyDescent="0.2">
      <c r="A40" s="9"/>
      <c r="B40" s="128"/>
      <c r="C40" s="128"/>
      <c r="D40" s="9">
        <v>87270</v>
      </c>
      <c r="E40" s="128"/>
      <c r="F40" s="128"/>
      <c r="G40" s="230" t="s">
        <v>1147</v>
      </c>
      <c r="H40" s="128"/>
      <c r="I40" s="136">
        <v>3789</v>
      </c>
      <c r="J40" s="136"/>
    </row>
    <row r="41" spans="1:10" x14ac:dyDescent="0.2">
      <c r="A41" s="19">
        <v>5</v>
      </c>
      <c r="B41" s="137"/>
      <c r="C41" s="137"/>
      <c r="D41" s="19">
        <v>83323</v>
      </c>
      <c r="E41" s="196">
        <v>43172</v>
      </c>
      <c r="F41" s="137"/>
      <c r="G41" s="137" t="s">
        <v>1075</v>
      </c>
      <c r="H41" s="137"/>
      <c r="I41" s="138">
        <v>855494.86</v>
      </c>
      <c r="J41" s="138"/>
    </row>
    <row r="42" spans="1:10" x14ac:dyDescent="0.2">
      <c r="A42" s="19">
        <v>6</v>
      </c>
      <c r="B42" s="137"/>
      <c r="C42" s="137"/>
      <c r="D42" s="19">
        <v>90784</v>
      </c>
      <c r="E42" s="196">
        <v>43528</v>
      </c>
      <c r="F42" s="137"/>
      <c r="G42" s="137" t="s">
        <v>1076</v>
      </c>
      <c r="H42" s="137"/>
      <c r="I42" s="138">
        <v>184917</v>
      </c>
      <c r="J42" s="138"/>
    </row>
    <row r="43" spans="1:10" x14ac:dyDescent="0.2">
      <c r="A43" s="19">
        <v>7</v>
      </c>
      <c r="B43" s="137"/>
      <c r="C43" s="137"/>
      <c r="D43" s="19">
        <v>94020</v>
      </c>
      <c r="E43" s="196">
        <v>44638</v>
      </c>
      <c r="F43" s="137"/>
      <c r="G43" s="137" t="s">
        <v>1204</v>
      </c>
      <c r="H43" s="137"/>
      <c r="I43" s="138">
        <v>376525.6</v>
      </c>
      <c r="J43" s="138"/>
    </row>
    <row r="44" spans="1:10" x14ac:dyDescent="0.2">
      <c r="A44" s="58"/>
      <c r="B44" s="151"/>
      <c r="C44" s="151"/>
      <c r="D44" s="58"/>
      <c r="E44" s="151"/>
      <c r="F44" s="151"/>
      <c r="G44" s="151"/>
      <c r="H44" s="151"/>
      <c r="I44" s="152"/>
      <c r="J44" s="152"/>
    </row>
    <row r="45" spans="1:10" x14ac:dyDescent="0.2">
      <c r="A45" s="58"/>
      <c r="B45" s="151"/>
      <c r="C45" s="151"/>
      <c r="D45" s="58"/>
      <c r="E45" s="151"/>
      <c r="F45" s="151"/>
      <c r="G45" s="151"/>
      <c r="H45" s="151"/>
      <c r="I45" s="152"/>
      <c r="J45" s="152"/>
    </row>
    <row r="46" spans="1:10" x14ac:dyDescent="0.2">
      <c r="A46" s="58"/>
      <c r="B46" s="151"/>
      <c r="C46" s="151"/>
      <c r="D46" s="58"/>
      <c r="E46" s="151"/>
      <c r="F46" s="151"/>
      <c r="G46" s="151"/>
      <c r="H46" s="151"/>
      <c r="I46" s="152"/>
      <c r="J46" s="152"/>
    </row>
    <row r="47" spans="1:10" ht="13.5" thickBot="1" x14ac:dyDescent="0.25">
      <c r="A47" s="9"/>
      <c r="B47" s="128"/>
      <c r="C47" s="128"/>
      <c r="D47" s="9"/>
      <c r="E47" s="128"/>
      <c r="F47" s="128"/>
      <c r="G47" s="128"/>
      <c r="H47" s="128"/>
      <c r="I47" s="226"/>
      <c r="J47" s="226"/>
    </row>
    <row r="48" spans="1:10" ht="13.5" thickTop="1" x14ac:dyDescent="0.2">
      <c r="A48" s="13"/>
      <c r="B48" s="13"/>
      <c r="C48" s="13"/>
      <c r="D48" s="13"/>
      <c r="E48" s="13"/>
      <c r="F48" s="13"/>
      <c r="G48" s="13"/>
      <c r="H48" s="13" t="s">
        <v>33</v>
      </c>
      <c r="I48" s="140">
        <f>SUM(I35:J47)</f>
        <v>2736020.6</v>
      </c>
      <c r="J48" s="140"/>
    </row>
    <row r="49" spans="1:10" x14ac:dyDescent="0.2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 x14ac:dyDescent="0.25">
      <c r="A50" s="15" t="s">
        <v>46</v>
      </c>
      <c r="B50" s="16"/>
      <c r="C50" s="16"/>
      <c r="D50" s="16"/>
      <c r="E50" s="16"/>
      <c r="F50" s="16"/>
      <c r="G50" s="16"/>
      <c r="H50" s="16"/>
      <c r="I50" s="149" t="s">
        <v>47</v>
      </c>
      <c r="J50" s="150"/>
    </row>
    <row r="51" spans="1:10" x14ac:dyDescent="0.2">
      <c r="A51" s="144" t="s">
        <v>48</v>
      </c>
      <c r="B51" s="144"/>
      <c r="C51" s="144"/>
      <c r="D51" s="144"/>
      <c r="E51" s="144"/>
      <c r="F51" s="144"/>
      <c r="G51" s="144"/>
      <c r="H51" s="144"/>
      <c r="I51" s="148">
        <f>I30*80%</f>
        <v>4359500.9280000003</v>
      </c>
      <c r="J51" s="148"/>
    </row>
    <row r="52" spans="1:10" x14ac:dyDescent="0.2">
      <c r="A52" s="144" t="s">
        <v>49</v>
      </c>
      <c r="B52" s="144"/>
      <c r="C52" s="144"/>
      <c r="D52" s="144"/>
      <c r="E52" s="144"/>
      <c r="F52" s="144"/>
      <c r="G52" s="144"/>
      <c r="H52" s="144"/>
      <c r="I52" s="184">
        <v>4446</v>
      </c>
      <c r="J52" s="184"/>
    </row>
    <row r="53" spans="1:10" ht="13.5" thickBot="1" x14ac:dyDescent="0.25">
      <c r="A53" s="144" t="s">
        <v>50</v>
      </c>
      <c r="B53" s="144"/>
      <c r="C53" s="144"/>
      <c r="D53" s="144"/>
      <c r="E53" s="144"/>
      <c r="F53" s="144"/>
      <c r="G53" s="144"/>
      <c r="H53" s="144"/>
      <c r="I53" s="145">
        <f>I48</f>
        <v>2736020.6</v>
      </c>
      <c r="J53" s="145"/>
    </row>
    <row r="54" spans="1:10" ht="13.5" thickTop="1" x14ac:dyDescent="0.2">
      <c r="H54" s="18" t="s">
        <v>33</v>
      </c>
      <c r="I54" s="129">
        <f>I51+I52-I53</f>
        <v>1627926.3280000002</v>
      </c>
      <c r="J54" s="130"/>
    </row>
    <row r="56" spans="1:10" ht="15" x14ac:dyDescent="0.25">
      <c r="A56" s="131" t="s">
        <v>51</v>
      </c>
      <c r="B56" s="132"/>
      <c r="C56" s="132"/>
      <c r="D56" s="132"/>
      <c r="E56" s="132"/>
      <c r="F56" s="132"/>
      <c r="G56" s="132"/>
      <c r="H56" s="132"/>
      <c r="I56" s="132"/>
      <c r="J56" s="133"/>
    </row>
    <row r="57" spans="1:10" x14ac:dyDescent="0.2">
      <c r="A57" s="139" t="s">
        <v>535</v>
      </c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</row>
    <row r="59" spans="1:10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</row>
    <row r="60" spans="1:10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</row>
    <row r="61" spans="1:10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</row>
    <row r="62" spans="1:10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</row>
  </sheetData>
  <mergeCells count="151">
    <mergeCell ref="B26:C26"/>
    <mergeCell ref="D26:E26"/>
    <mergeCell ref="G26:H26"/>
    <mergeCell ref="B27:C27"/>
    <mergeCell ref="D27:E27"/>
    <mergeCell ref="G27:H27"/>
    <mergeCell ref="B24:C24"/>
    <mergeCell ref="D24:E24"/>
    <mergeCell ref="G24:H24"/>
    <mergeCell ref="B25:C25"/>
    <mergeCell ref="D25:E25"/>
    <mergeCell ref="G25:H25"/>
    <mergeCell ref="B22:C22"/>
    <mergeCell ref="D22:E22"/>
    <mergeCell ref="G22:H22"/>
    <mergeCell ref="B23:C23"/>
    <mergeCell ref="D23:E23"/>
    <mergeCell ref="G23:H23"/>
    <mergeCell ref="B20:C20"/>
    <mergeCell ref="D20:E20"/>
    <mergeCell ref="G20:H20"/>
    <mergeCell ref="B21:C21"/>
    <mergeCell ref="D21:E21"/>
    <mergeCell ref="G21:H21"/>
    <mergeCell ref="B16:C16"/>
    <mergeCell ref="D16:E16"/>
    <mergeCell ref="G16:H16"/>
    <mergeCell ref="B17:C17"/>
    <mergeCell ref="D17:E17"/>
    <mergeCell ref="G17:H17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29:C29"/>
    <mergeCell ref="D29:E29"/>
    <mergeCell ref="G29:H29"/>
    <mergeCell ref="B28:C28"/>
    <mergeCell ref="D28:E28"/>
    <mergeCell ref="G28:H28"/>
    <mergeCell ref="A32:J32"/>
    <mergeCell ref="A33:A34"/>
    <mergeCell ref="B33:C34"/>
    <mergeCell ref="D33:D34"/>
    <mergeCell ref="E33:F34"/>
    <mergeCell ref="G33:H34"/>
    <mergeCell ref="I33:J34"/>
    <mergeCell ref="B40:C40"/>
    <mergeCell ref="E40:F40"/>
    <mergeCell ref="G40:H40"/>
    <mergeCell ref="I40:J40"/>
    <mergeCell ref="B36:C36"/>
    <mergeCell ref="E36:F36"/>
    <mergeCell ref="G36:H36"/>
    <mergeCell ref="I36:J36"/>
    <mergeCell ref="B35:C35"/>
    <mergeCell ref="E35:F35"/>
    <mergeCell ref="G35:H35"/>
    <mergeCell ref="I35:J35"/>
    <mergeCell ref="B38:C38"/>
    <mergeCell ref="E38:F38"/>
    <mergeCell ref="G38:H38"/>
    <mergeCell ref="I38:J38"/>
    <mergeCell ref="B37:C37"/>
    <mergeCell ref="E37:F37"/>
    <mergeCell ref="G37:H37"/>
    <mergeCell ref="I37:J37"/>
    <mergeCell ref="B46:C46"/>
    <mergeCell ref="E46:F46"/>
    <mergeCell ref="G46:H46"/>
    <mergeCell ref="I46:J46"/>
    <mergeCell ref="B42:C42"/>
    <mergeCell ref="E42:F42"/>
    <mergeCell ref="G42:H42"/>
    <mergeCell ref="I42:J42"/>
    <mergeCell ref="B43:C43"/>
    <mergeCell ref="E43:F43"/>
    <mergeCell ref="A56:J56"/>
    <mergeCell ref="A57:J62"/>
    <mergeCell ref="B47:C47"/>
    <mergeCell ref="E47:F47"/>
    <mergeCell ref="G47:H47"/>
    <mergeCell ref="I47:J47"/>
    <mergeCell ref="A52:H52"/>
    <mergeCell ref="I52:J52"/>
    <mergeCell ref="A53:H53"/>
    <mergeCell ref="I53:J53"/>
    <mergeCell ref="I54:J54"/>
    <mergeCell ref="I48:J48"/>
    <mergeCell ref="I50:J50"/>
    <mergeCell ref="A51:H51"/>
    <mergeCell ref="I51:J51"/>
    <mergeCell ref="B18:C18"/>
    <mergeCell ref="D18:E18"/>
    <mergeCell ref="G18:H18"/>
    <mergeCell ref="B19:C19"/>
    <mergeCell ref="D19:E19"/>
    <mergeCell ref="G19:H19"/>
    <mergeCell ref="G43:H43"/>
    <mergeCell ref="I43:J43"/>
    <mergeCell ref="B45:C45"/>
    <mergeCell ref="E45:F45"/>
    <mergeCell ref="G45:H45"/>
    <mergeCell ref="I45:J45"/>
    <mergeCell ref="B44:C44"/>
    <mergeCell ref="E44:F44"/>
    <mergeCell ref="G44:H44"/>
    <mergeCell ref="I44:J44"/>
    <mergeCell ref="B41:C41"/>
    <mergeCell ref="E41:F41"/>
    <mergeCell ref="G41:H41"/>
    <mergeCell ref="I41:J41"/>
    <mergeCell ref="B39:C39"/>
    <mergeCell ref="E39:F39"/>
    <mergeCell ref="G39:H39"/>
    <mergeCell ref="I39:J39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9">
    <pageSetUpPr fitToPage="1"/>
  </sheetPr>
  <dimension ref="A1:J52"/>
  <sheetViews>
    <sheetView workbookViewId="0">
      <selection activeCell="I36" sqref="I36:J36"/>
    </sheetView>
  </sheetViews>
  <sheetFormatPr defaultRowHeight="12.75" x14ac:dyDescent="0.2"/>
  <cols>
    <col min="6" max="6" width="11.7109375" customWidth="1"/>
    <col min="9" max="9" width="1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537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5835143</v>
      </c>
      <c r="C6" s="128"/>
      <c r="D6" s="128">
        <v>5835143</v>
      </c>
      <c r="E6" s="128"/>
      <c r="F6" s="12">
        <v>34600</v>
      </c>
      <c r="G6" s="169" t="s">
        <v>538</v>
      </c>
      <c r="H6" s="169"/>
      <c r="I6" s="32">
        <v>230732</v>
      </c>
      <c r="J6" s="32">
        <f>I6*0.8</f>
        <v>184585.60000000001</v>
      </c>
    </row>
    <row r="7" spans="1:10" x14ac:dyDescent="0.2">
      <c r="A7" s="9">
        <v>2</v>
      </c>
      <c r="B7" s="128">
        <v>5831156</v>
      </c>
      <c r="C7" s="128"/>
      <c r="D7" s="128">
        <v>5831164</v>
      </c>
      <c r="E7" s="128"/>
      <c r="F7" s="12">
        <v>35187</v>
      </c>
      <c r="G7" s="169" t="s">
        <v>539</v>
      </c>
      <c r="H7" s="169"/>
      <c r="I7" s="32">
        <v>124026</v>
      </c>
      <c r="J7" s="32">
        <f>I7*0.8</f>
        <v>99220.800000000003</v>
      </c>
    </row>
    <row r="8" spans="1:10" x14ac:dyDescent="0.2">
      <c r="A8" s="9">
        <v>3</v>
      </c>
      <c r="B8" s="128">
        <v>5838223</v>
      </c>
      <c r="C8" s="128"/>
      <c r="D8" s="128">
        <v>5838231</v>
      </c>
      <c r="E8" s="128"/>
      <c r="F8" s="12">
        <v>35187</v>
      </c>
      <c r="G8" s="169" t="s">
        <v>540</v>
      </c>
      <c r="H8" s="169"/>
      <c r="I8" s="32">
        <v>178867</v>
      </c>
      <c r="J8" s="32">
        <f>I8*0.8</f>
        <v>143093.6</v>
      </c>
    </row>
    <row r="9" spans="1:10" x14ac:dyDescent="0.2">
      <c r="A9" s="9">
        <v>4</v>
      </c>
      <c r="B9" s="128">
        <v>5835100</v>
      </c>
      <c r="C9" s="128"/>
      <c r="D9" s="128">
        <v>5835119</v>
      </c>
      <c r="E9" s="128"/>
      <c r="F9" s="12">
        <v>35039</v>
      </c>
      <c r="G9" s="169" t="s">
        <v>541</v>
      </c>
      <c r="H9" s="169"/>
      <c r="I9" s="32">
        <v>138611.6</v>
      </c>
      <c r="J9" s="32">
        <f>I9*0.8</f>
        <v>110889.28000000001</v>
      </c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672236.6</v>
      </c>
      <c r="J14" s="33">
        <f>SUM(J6:J13)</f>
        <v>537789.28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28">
        <v>100350</v>
      </c>
      <c r="C19" s="128"/>
      <c r="D19" s="9">
        <v>14553</v>
      </c>
      <c r="E19" s="182">
        <v>36526</v>
      </c>
      <c r="F19" s="128"/>
      <c r="G19" s="128" t="s">
        <v>542</v>
      </c>
      <c r="H19" s="128"/>
      <c r="I19" s="136">
        <v>22833</v>
      </c>
      <c r="J19" s="136"/>
    </row>
    <row r="20" spans="1:10" x14ac:dyDescent="0.2">
      <c r="A20" s="9">
        <v>2</v>
      </c>
      <c r="B20" s="128">
        <v>100800</v>
      </c>
      <c r="C20" s="128"/>
      <c r="D20" s="9">
        <v>16269</v>
      </c>
      <c r="E20" s="182">
        <v>36281</v>
      </c>
      <c r="F20" s="128"/>
      <c r="G20" s="128" t="s">
        <v>543</v>
      </c>
      <c r="H20" s="128"/>
      <c r="I20" s="136">
        <v>25984</v>
      </c>
      <c r="J20" s="136"/>
    </row>
    <row r="21" spans="1:10" x14ac:dyDescent="0.2">
      <c r="A21" s="9">
        <v>3</v>
      </c>
      <c r="B21" s="128">
        <v>100800</v>
      </c>
      <c r="C21" s="128"/>
      <c r="D21" s="9">
        <v>16269</v>
      </c>
      <c r="E21" s="182">
        <v>36342</v>
      </c>
      <c r="F21" s="128"/>
      <c r="G21" s="183" t="s">
        <v>544</v>
      </c>
      <c r="H21" s="128"/>
      <c r="I21" s="136">
        <v>10222</v>
      </c>
      <c r="J21" s="136"/>
    </row>
    <row r="22" spans="1:10" x14ac:dyDescent="0.2">
      <c r="A22" s="9">
        <v>4</v>
      </c>
      <c r="B22" s="128">
        <v>505929</v>
      </c>
      <c r="C22" s="128"/>
      <c r="D22" s="9">
        <v>78858</v>
      </c>
      <c r="E22" s="182">
        <v>39839</v>
      </c>
      <c r="F22" s="128"/>
      <c r="G22" s="128" t="s">
        <v>545</v>
      </c>
      <c r="H22" s="128"/>
      <c r="I22" s="136">
        <v>97220</v>
      </c>
      <c r="J22" s="136"/>
    </row>
    <row r="23" spans="1:10" x14ac:dyDescent="0.2">
      <c r="A23" s="9">
        <v>5</v>
      </c>
      <c r="B23" s="128">
        <v>506152</v>
      </c>
      <c r="C23" s="128"/>
      <c r="D23" s="9">
        <v>80920</v>
      </c>
      <c r="E23" s="182">
        <v>40619</v>
      </c>
      <c r="F23" s="128"/>
      <c r="G23" s="227" t="s">
        <v>856</v>
      </c>
      <c r="H23" s="228"/>
      <c r="I23" s="136">
        <v>49679.44</v>
      </c>
      <c r="J23" s="136"/>
    </row>
    <row r="24" spans="1:10" x14ac:dyDescent="0.2">
      <c r="A24" s="9">
        <v>6</v>
      </c>
      <c r="B24" s="128">
        <v>506244</v>
      </c>
      <c r="C24" s="128"/>
      <c r="D24" s="9">
        <v>82268</v>
      </c>
      <c r="E24" s="182">
        <v>40620</v>
      </c>
      <c r="F24" s="128"/>
      <c r="G24" s="227" t="s">
        <v>870</v>
      </c>
      <c r="H24" s="228"/>
      <c r="I24" s="136">
        <v>39654.44</v>
      </c>
      <c r="J24" s="136"/>
    </row>
    <row r="25" spans="1:10" x14ac:dyDescent="0.2">
      <c r="A25" s="19">
        <v>7</v>
      </c>
      <c r="B25" s="137">
        <v>506153</v>
      </c>
      <c r="C25" s="137"/>
      <c r="D25" s="19">
        <v>80921</v>
      </c>
      <c r="E25" s="196">
        <v>41774</v>
      </c>
      <c r="F25" s="137"/>
      <c r="G25" s="137" t="s">
        <v>1040</v>
      </c>
      <c r="H25" s="137"/>
      <c r="I25" s="138">
        <v>45278.400000000001</v>
      </c>
      <c r="J25" s="138"/>
    </row>
    <row r="26" spans="1:10" x14ac:dyDescent="0.2">
      <c r="A26" s="19">
        <v>8</v>
      </c>
      <c r="B26" s="137">
        <v>506345</v>
      </c>
      <c r="C26" s="137"/>
      <c r="D26" s="19">
        <v>83536</v>
      </c>
      <c r="E26" s="196">
        <v>41191</v>
      </c>
      <c r="F26" s="137"/>
      <c r="G26" s="164" t="s">
        <v>956</v>
      </c>
      <c r="H26" s="228"/>
      <c r="I26" s="138">
        <v>34620.33</v>
      </c>
      <c r="J26" s="138"/>
    </row>
    <row r="27" spans="1:10" x14ac:dyDescent="0.2">
      <c r="A27" s="19">
        <v>9</v>
      </c>
      <c r="B27" s="137">
        <v>506346</v>
      </c>
      <c r="C27" s="137"/>
      <c r="D27" s="19">
        <v>83544</v>
      </c>
      <c r="E27" s="196">
        <v>41663</v>
      </c>
      <c r="F27" s="137"/>
      <c r="G27" s="137" t="s">
        <v>1025</v>
      </c>
      <c r="H27" s="137"/>
      <c r="I27" s="339">
        <v>35197.25</v>
      </c>
      <c r="J27" s="339"/>
    </row>
    <row r="28" spans="1:10" x14ac:dyDescent="0.2">
      <c r="A28" s="19"/>
      <c r="B28" s="137"/>
      <c r="C28" s="137"/>
      <c r="D28" s="19">
        <v>87270</v>
      </c>
      <c r="E28" s="137" t="s">
        <v>864</v>
      </c>
      <c r="F28" s="137"/>
      <c r="G28" s="137"/>
      <c r="H28" s="137"/>
      <c r="I28" s="138">
        <v>32239.599999999999</v>
      </c>
      <c r="J28" s="138"/>
    </row>
    <row r="29" spans="1:10" x14ac:dyDescent="0.2">
      <c r="A29" s="19"/>
      <c r="B29" s="137"/>
      <c r="C29" s="137"/>
      <c r="D29" s="19">
        <v>88870</v>
      </c>
      <c r="E29" s="137" t="s">
        <v>912</v>
      </c>
      <c r="F29" s="137"/>
      <c r="G29" s="137"/>
      <c r="H29" s="137"/>
      <c r="I29" s="138">
        <v>4826.2</v>
      </c>
      <c r="J29" s="138"/>
    </row>
    <row r="30" spans="1:10" x14ac:dyDescent="0.2">
      <c r="A30" s="19"/>
      <c r="B30" s="137"/>
      <c r="C30" s="137"/>
      <c r="D30" s="19">
        <v>90189</v>
      </c>
      <c r="E30" s="137" t="s">
        <v>939</v>
      </c>
      <c r="F30" s="137"/>
      <c r="G30" s="137"/>
      <c r="H30" s="137"/>
      <c r="I30" s="138">
        <v>1710.6</v>
      </c>
      <c r="J30" s="138"/>
    </row>
    <row r="31" spans="1:10" x14ac:dyDescent="0.2">
      <c r="A31" s="19"/>
      <c r="B31" s="137"/>
      <c r="C31" s="137"/>
      <c r="D31" s="19">
        <v>92742</v>
      </c>
      <c r="E31" s="137" t="s">
        <v>1009</v>
      </c>
      <c r="F31" s="137"/>
      <c r="G31" s="137"/>
      <c r="H31" s="137"/>
      <c r="I31" s="138">
        <v>8725.2000000000007</v>
      </c>
      <c r="J31" s="138"/>
    </row>
    <row r="32" spans="1:10" x14ac:dyDescent="0.2">
      <c r="A32" s="19"/>
      <c r="B32" s="137"/>
      <c r="C32" s="137"/>
      <c r="D32" s="19">
        <v>93896</v>
      </c>
      <c r="E32" s="137" t="s">
        <v>1027</v>
      </c>
      <c r="F32" s="137"/>
      <c r="G32" s="137"/>
      <c r="H32" s="137"/>
      <c r="I32" s="138">
        <v>6035</v>
      </c>
      <c r="J32" s="138"/>
    </row>
    <row r="33" spans="1:10" x14ac:dyDescent="0.2">
      <c r="A33" s="19"/>
      <c r="B33" s="137"/>
      <c r="C33" s="137"/>
      <c r="D33" s="19">
        <v>97090</v>
      </c>
      <c r="E33" s="303">
        <v>44641</v>
      </c>
      <c r="F33" s="228"/>
      <c r="G33" s="137" t="s">
        <v>1214</v>
      </c>
      <c r="H33" s="137"/>
      <c r="I33" s="138">
        <v>59976.29</v>
      </c>
      <c r="J33" s="138"/>
    </row>
    <row r="34" spans="1:10" x14ac:dyDescent="0.2">
      <c r="A34" s="26"/>
      <c r="B34" s="236"/>
      <c r="C34" s="236"/>
      <c r="D34" s="26">
        <v>115390</v>
      </c>
      <c r="E34" s="220" t="s">
        <v>1575</v>
      </c>
      <c r="F34" s="236"/>
      <c r="G34" s="236"/>
      <c r="H34" s="236"/>
      <c r="I34" s="247">
        <v>187606.8</v>
      </c>
      <c r="J34" s="247"/>
    </row>
    <row r="35" spans="1:10" x14ac:dyDescent="0.2">
      <c r="A35" s="124"/>
      <c r="B35" s="341"/>
      <c r="C35" s="341"/>
      <c r="D35" s="124"/>
      <c r="E35" s="256" t="s">
        <v>1636</v>
      </c>
      <c r="F35" s="256"/>
      <c r="G35" s="256"/>
      <c r="H35" s="256"/>
      <c r="I35" s="257">
        <v>151245</v>
      </c>
      <c r="J35" s="257"/>
    </row>
    <row r="36" spans="1:10" ht="13.5" thickBot="1" x14ac:dyDescent="0.25">
      <c r="A36" s="26"/>
      <c r="B36" s="236"/>
      <c r="C36" s="236"/>
      <c r="D36" s="26"/>
      <c r="E36" s="236"/>
      <c r="F36" s="236"/>
      <c r="G36" s="236"/>
      <c r="H36" s="236"/>
      <c r="I36" s="340"/>
      <c r="J36" s="340"/>
    </row>
    <row r="37" spans="1:10" ht="13.5" thickTop="1" x14ac:dyDescent="0.2">
      <c r="A37" s="13"/>
      <c r="B37" s="13"/>
      <c r="C37" s="13"/>
      <c r="D37" s="13"/>
      <c r="E37" s="13"/>
      <c r="F37" s="13"/>
      <c r="G37" s="13"/>
      <c r="H37" s="13" t="s">
        <v>33</v>
      </c>
      <c r="I37" s="140">
        <f>SUM(I19:J36)</f>
        <v>813053.55</v>
      </c>
      <c r="J37" s="140"/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15" t="s">
        <v>46</v>
      </c>
      <c r="B39" s="16"/>
      <c r="C39" s="16"/>
      <c r="D39" s="16"/>
      <c r="E39" s="16"/>
      <c r="F39" s="16"/>
      <c r="G39" s="16"/>
      <c r="H39" s="16"/>
      <c r="I39" s="149" t="s">
        <v>47</v>
      </c>
      <c r="J39" s="150"/>
    </row>
    <row r="40" spans="1:10" x14ac:dyDescent="0.2">
      <c r="A40" s="144" t="s">
        <v>48</v>
      </c>
      <c r="B40" s="144"/>
      <c r="C40" s="144"/>
      <c r="D40" s="144"/>
      <c r="E40" s="144"/>
      <c r="F40" s="144"/>
      <c r="G40" s="144"/>
      <c r="H40" s="144"/>
      <c r="I40" s="148">
        <f>I14*80%</f>
        <v>537789.28</v>
      </c>
      <c r="J40" s="148"/>
    </row>
    <row r="41" spans="1:10" x14ac:dyDescent="0.2">
      <c r="A41" s="144" t="s">
        <v>49</v>
      </c>
      <c r="B41" s="144"/>
      <c r="C41" s="144"/>
      <c r="D41" s="144"/>
      <c r="E41" s="144"/>
      <c r="F41" s="144"/>
      <c r="G41" s="144"/>
      <c r="H41" s="144"/>
      <c r="I41" s="184">
        <f>-100000+36207</f>
        <v>-63793</v>
      </c>
      <c r="J41" s="184"/>
    </row>
    <row r="42" spans="1:10" x14ac:dyDescent="0.2">
      <c r="A42" s="144" t="s">
        <v>1573</v>
      </c>
      <c r="B42" s="144"/>
      <c r="C42" s="144"/>
      <c r="D42" s="144"/>
      <c r="E42" s="144"/>
      <c r="F42" s="144"/>
      <c r="G42" s="144"/>
      <c r="H42" s="144"/>
      <c r="I42" s="184">
        <v>300000</v>
      </c>
      <c r="J42" s="184"/>
    </row>
    <row r="43" spans="1:10" ht="13.5" thickBot="1" x14ac:dyDescent="0.25">
      <c r="A43" s="144" t="s">
        <v>50</v>
      </c>
      <c r="B43" s="144"/>
      <c r="C43" s="144"/>
      <c r="D43" s="144"/>
      <c r="E43" s="144"/>
      <c r="F43" s="144"/>
      <c r="G43" s="144"/>
      <c r="H43" s="144"/>
      <c r="I43" s="145">
        <f>I37</f>
        <v>813053.55</v>
      </c>
      <c r="J43" s="145"/>
    </row>
    <row r="44" spans="1:10" ht="13.5" thickTop="1" x14ac:dyDescent="0.2">
      <c r="H44" s="18" t="s">
        <v>33</v>
      </c>
      <c r="I44" s="129">
        <f>I40+I41+I42-I43</f>
        <v>-39057.270000000019</v>
      </c>
      <c r="J44" s="130"/>
    </row>
    <row r="46" spans="1:10" ht="15" x14ac:dyDescent="0.25">
      <c r="A46" s="131" t="s">
        <v>51</v>
      </c>
      <c r="B46" s="132"/>
      <c r="C46" s="132"/>
      <c r="D46" s="132"/>
      <c r="E46" s="132"/>
      <c r="F46" s="132"/>
      <c r="G46" s="132"/>
      <c r="H46" s="132"/>
      <c r="I46" s="132"/>
      <c r="J46" s="133"/>
    </row>
    <row r="47" spans="1:10" x14ac:dyDescent="0.2">
      <c r="A47" s="139" t="s">
        <v>546</v>
      </c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  <row r="49" spans="1:10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</sheetData>
  <mergeCells count="125">
    <mergeCell ref="A42:H42"/>
    <mergeCell ref="I42:J42"/>
    <mergeCell ref="B34:C34"/>
    <mergeCell ref="E34:F34"/>
    <mergeCell ref="G34:H34"/>
    <mergeCell ref="I34:J34"/>
    <mergeCell ref="B35:C35"/>
    <mergeCell ref="E35:F35"/>
    <mergeCell ref="G35:H35"/>
    <mergeCell ref="I35:J35"/>
    <mergeCell ref="G32:H32"/>
    <mergeCell ref="I32:J32"/>
    <mergeCell ref="B32:C32"/>
    <mergeCell ref="E32:F32"/>
    <mergeCell ref="B33:C33"/>
    <mergeCell ref="G33:H33"/>
    <mergeCell ref="I33:J33"/>
    <mergeCell ref="B30:C30"/>
    <mergeCell ref="E30:F30"/>
    <mergeCell ref="G30:H30"/>
    <mergeCell ref="I30:J30"/>
    <mergeCell ref="B31:C31"/>
    <mergeCell ref="E31:F31"/>
    <mergeCell ref="G31:H31"/>
    <mergeCell ref="I31:J31"/>
    <mergeCell ref="E33:F33"/>
    <mergeCell ref="B29:C29"/>
    <mergeCell ref="E29:F29"/>
    <mergeCell ref="G29:H29"/>
    <mergeCell ref="I29:J29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13:C13"/>
    <mergeCell ref="D13:E13"/>
    <mergeCell ref="G13:H13"/>
    <mergeCell ref="B12:C12"/>
    <mergeCell ref="D12:E12"/>
    <mergeCell ref="G12:H12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19:C19"/>
    <mergeCell ref="E19:F19"/>
    <mergeCell ref="G19:H19"/>
    <mergeCell ref="I19:J19"/>
    <mergeCell ref="B22:C22"/>
    <mergeCell ref="E22:F22"/>
    <mergeCell ref="G22:H22"/>
    <mergeCell ref="I22:J22"/>
    <mergeCell ref="B21:C21"/>
    <mergeCell ref="E21:F21"/>
    <mergeCell ref="G21:H21"/>
    <mergeCell ref="I21:J21"/>
    <mergeCell ref="E24:F24"/>
    <mergeCell ref="I24:J24"/>
    <mergeCell ref="G24:H24"/>
    <mergeCell ref="B23:C23"/>
    <mergeCell ref="E23:F23"/>
    <mergeCell ref="I23:J23"/>
    <mergeCell ref="G23:H23"/>
    <mergeCell ref="B28:C28"/>
    <mergeCell ref="E28:F28"/>
    <mergeCell ref="G28:H28"/>
    <mergeCell ref="I28:J28"/>
    <mergeCell ref="B25:C25"/>
    <mergeCell ref="E25:F25"/>
    <mergeCell ref="G25:H25"/>
    <mergeCell ref="I25:J25"/>
    <mergeCell ref="B27:C27"/>
    <mergeCell ref="E27:F27"/>
    <mergeCell ref="A47:J52"/>
    <mergeCell ref="I4:I5"/>
    <mergeCell ref="J4:J5"/>
    <mergeCell ref="A41:H41"/>
    <mergeCell ref="I41:J41"/>
    <mergeCell ref="A43:H43"/>
    <mergeCell ref="I43:J43"/>
    <mergeCell ref="I37:J37"/>
    <mergeCell ref="G27:H27"/>
    <mergeCell ref="I27:J27"/>
    <mergeCell ref="B26:C26"/>
    <mergeCell ref="E26:F26"/>
    <mergeCell ref="I26:J26"/>
    <mergeCell ref="G26:H26"/>
    <mergeCell ref="I39:J39"/>
    <mergeCell ref="A40:H40"/>
    <mergeCell ref="I40:J40"/>
    <mergeCell ref="B36:C36"/>
    <mergeCell ref="E36:F36"/>
    <mergeCell ref="G36:H36"/>
    <mergeCell ref="I36:J36"/>
    <mergeCell ref="I44:J44"/>
    <mergeCell ref="A46:J46"/>
    <mergeCell ref="B24:C24"/>
  </mergeCells>
  <phoneticPr fontId="6" type="noConversion"/>
  <pageMargins left="0.75" right="0.75" top="1" bottom="1" header="0.5" footer="0.5"/>
  <pageSetup paperSize="9" scale="88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0">
    <pageSetUpPr fitToPage="1"/>
  </sheetPr>
  <dimension ref="A1:K52"/>
  <sheetViews>
    <sheetView workbookViewId="0">
      <selection activeCell="F16" sqref="F16"/>
    </sheetView>
  </sheetViews>
  <sheetFormatPr defaultRowHeight="12.75" x14ac:dyDescent="0.2"/>
  <cols>
    <col min="6" max="6" width="11.85546875" customWidth="1"/>
    <col min="8" max="8" width="13.42578125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547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177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69"/>
    </row>
    <row r="6" spans="1:11" x14ac:dyDescent="0.2">
      <c r="A6" s="9">
        <v>1</v>
      </c>
      <c r="B6" s="128">
        <v>5932424</v>
      </c>
      <c r="C6" s="128"/>
      <c r="D6" s="128">
        <v>5931924</v>
      </c>
      <c r="E6" s="128"/>
      <c r="F6" s="12">
        <v>35390</v>
      </c>
      <c r="G6" s="169" t="s">
        <v>548</v>
      </c>
      <c r="H6" s="169"/>
      <c r="I6" s="39">
        <v>83565</v>
      </c>
      <c r="J6" s="32">
        <f>I6*0.8</f>
        <v>66852</v>
      </c>
    </row>
    <row r="7" spans="1:11" x14ac:dyDescent="0.2">
      <c r="A7" s="9">
        <v>2</v>
      </c>
      <c r="B7" s="128">
        <v>5930456</v>
      </c>
      <c r="C7" s="128"/>
      <c r="D7" s="128">
        <v>5932300</v>
      </c>
      <c r="E7" s="128"/>
      <c r="F7" s="12">
        <v>35390</v>
      </c>
      <c r="G7" s="169" t="s">
        <v>549</v>
      </c>
      <c r="H7" s="169"/>
      <c r="I7" s="39">
        <v>148440</v>
      </c>
      <c r="J7" s="32">
        <f t="shared" ref="J7:J16" si="0">I7*0.8</f>
        <v>118752</v>
      </c>
    </row>
    <row r="8" spans="1:11" x14ac:dyDescent="0.2">
      <c r="A8" s="9">
        <v>3</v>
      </c>
      <c r="B8" s="128">
        <v>5930596</v>
      </c>
      <c r="C8" s="128"/>
      <c r="D8" s="128">
        <v>5932416</v>
      </c>
      <c r="E8" s="128"/>
      <c r="F8" s="12">
        <v>35390</v>
      </c>
      <c r="G8" s="169" t="s">
        <v>550</v>
      </c>
      <c r="H8" s="169"/>
      <c r="I8" s="39">
        <v>63979.86</v>
      </c>
      <c r="J8" s="32">
        <f t="shared" si="0"/>
        <v>51183.888000000006</v>
      </c>
    </row>
    <row r="9" spans="1:11" x14ac:dyDescent="0.2">
      <c r="A9" s="9">
        <v>4</v>
      </c>
      <c r="B9" s="128">
        <v>5931835</v>
      </c>
      <c r="C9" s="128"/>
      <c r="D9" s="128">
        <v>5931819</v>
      </c>
      <c r="E9" s="128"/>
      <c r="F9" s="12">
        <v>35390</v>
      </c>
      <c r="G9" s="169" t="s">
        <v>551</v>
      </c>
      <c r="H9" s="169"/>
      <c r="I9" s="39">
        <v>90190</v>
      </c>
      <c r="J9" s="32">
        <f t="shared" si="0"/>
        <v>72152</v>
      </c>
    </row>
    <row r="10" spans="1:11" x14ac:dyDescent="0.2">
      <c r="A10" s="9">
        <v>5</v>
      </c>
      <c r="B10" s="128">
        <v>5932289</v>
      </c>
      <c r="C10" s="128"/>
      <c r="D10" s="128">
        <v>5932351</v>
      </c>
      <c r="E10" s="128"/>
      <c r="F10" s="12">
        <v>35390</v>
      </c>
      <c r="G10" s="169" t="s">
        <v>552</v>
      </c>
      <c r="H10" s="169"/>
      <c r="I10" s="39">
        <v>76980</v>
      </c>
      <c r="J10" s="32">
        <f t="shared" si="0"/>
        <v>61584</v>
      </c>
    </row>
    <row r="11" spans="1:11" x14ac:dyDescent="0.2">
      <c r="A11" s="9">
        <v>6</v>
      </c>
      <c r="B11" s="128">
        <v>5930316</v>
      </c>
      <c r="C11" s="128"/>
      <c r="D11" s="128">
        <v>5931533</v>
      </c>
      <c r="E11" s="128"/>
      <c r="F11" s="12">
        <v>35390</v>
      </c>
      <c r="G11" s="169" t="s">
        <v>553</v>
      </c>
      <c r="H11" s="169"/>
      <c r="I11" s="39">
        <v>150200</v>
      </c>
      <c r="J11" s="32">
        <f t="shared" si="0"/>
        <v>120160</v>
      </c>
    </row>
    <row r="12" spans="1:11" x14ac:dyDescent="0.2">
      <c r="A12" s="9">
        <v>7</v>
      </c>
      <c r="B12" s="128">
        <v>5930065</v>
      </c>
      <c r="C12" s="128"/>
      <c r="D12" s="128"/>
      <c r="E12" s="128"/>
      <c r="F12" s="12">
        <v>35314</v>
      </c>
      <c r="G12" s="169" t="s">
        <v>554</v>
      </c>
      <c r="H12" s="169"/>
      <c r="I12" s="39">
        <v>58997.75</v>
      </c>
      <c r="J12" s="32">
        <f t="shared" si="0"/>
        <v>47198.200000000004</v>
      </c>
    </row>
    <row r="13" spans="1:11" x14ac:dyDescent="0.2">
      <c r="A13" s="9">
        <v>8</v>
      </c>
      <c r="B13" s="128">
        <v>5932041</v>
      </c>
      <c r="C13" s="128"/>
      <c r="D13" s="128"/>
      <c r="E13" s="128"/>
      <c r="F13" s="12">
        <v>35856</v>
      </c>
      <c r="G13" s="169" t="s">
        <v>555</v>
      </c>
      <c r="H13" s="169"/>
      <c r="I13" s="45">
        <v>62826.06</v>
      </c>
      <c r="J13" s="67">
        <f t="shared" si="0"/>
        <v>50260.847999999998</v>
      </c>
      <c r="K13" s="107"/>
    </row>
    <row r="14" spans="1:11" x14ac:dyDescent="0.2">
      <c r="A14" s="9">
        <v>9</v>
      </c>
      <c r="B14" s="128">
        <v>5931738</v>
      </c>
      <c r="C14" s="128"/>
      <c r="D14" s="137" t="s">
        <v>1182</v>
      </c>
      <c r="E14" s="128"/>
      <c r="F14" s="12">
        <v>43836</v>
      </c>
      <c r="G14" s="169"/>
      <c r="H14" s="169"/>
      <c r="I14" s="32">
        <v>479667.85</v>
      </c>
      <c r="J14" s="67">
        <f t="shared" si="0"/>
        <v>383734.28</v>
      </c>
    </row>
    <row r="15" spans="1:11" x14ac:dyDescent="0.2">
      <c r="A15" s="9">
        <v>10</v>
      </c>
      <c r="B15" s="128">
        <v>5931053</v>
      </c>
      <c r="C15" s="128"/>
      <c r="D15" s="230" t="s">
        <v>1182</v>
      </c>
      <c r="E15" s="128"/>
      <c r="F15" s="12">
        <v>44452</v>
      </c>
      <c r="G15" s="169"/>
      <c r="H15" s="169"/>
      <c r="I15" s="32">
        <v>328178.15000000002</v>
      </c>
      <c r="J15" s="67">
        <f t="shared" si="0"/>
        <v>262542.52</v>
      </c>
    </row>
    <row r="16" spans="1:11" ht="14.25" customHeight="1" x14ac:dyDescent="0.2">
      <c r="A16" s="9">
        <v>11</v>
      </c>
      <c r="B16" s="128">
        <v>5931533</v>
      </c>
      <c r="C16" s="128"/>
      <c r="D16" s="128" t="s">
        <v>1151</v>
      </c>
      <c r="E16" s="128"/>
      <c r="F16" s="12">
        <v>45243</v>
      </c>
      <c r="G16" s="169" t="s">
        <v>1650</v>
      </c>
      <c r="H16" s="169"/>
      <c r="I16" s="32">
        <v>431338.7</v>
      </c>
      <c r="J16" s="67">
        <f t="shared" si="0"/>
        <v>345070.96</v>
      </c>
    </row>
    <row r="17" spans="1:10" ht="14.25" customHeight="1" thickBot="1" x14ac:dyDescent="0.25">
      <c r="A17" s="9"/>
      <c r="B17" s="128"/>
      <c r="C17" s="128"/>
      <c r="D17" s="128"/>
      <c r="E17" s="128"/>
      <c r="F17" s="12"/>
      <c r="G17" s="169"/>
      <c r="H17" s="169"/>
      <c r="I17" s="96"/>
      <c r="J17" s="67"/>
    </row>
    <row r="18" spans="1:10" ht="13.5" thickTop="1" x14ac:dyDescent="0.2">
      <c r="A18" s="13"/>
      <c r="B18" s="13"/>
      <c r="C18" s="13"/>
      <c r="D18" s="13"/>
      <c r="E18" s="13"/>
      <c r="F18" s="13"/>
      <c r="G18" s="13"/>
      <c r="H18" s="13" t="s">
        <v>33</v>
      </c>
      <c r="I18" s="43">
        <f>SUM(I6:I17)</f>
        <v>1974363.3699999999</v>
      </c>
      <c r="J18" s="78">
        <f>SUM(J6:J17)</f>
        <v>1579490.696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31" t="s">
        <v>34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x14ac:dyDescent="0.2">
      <c r="A21" s="169" t="s">
        <v>23</v>
      </c>
      <c r="B21" s="169" t="s">
        <v>35</v>
      </c>
      <c r="C21" s="169"/>
      <c r="D21" s="169" t="s">
        <v>36</v>
      </c>
      <c r="E21" s="169" t="s">
        <v>37</v>
      </c>
      <c r="F21" s="169"/>
      <c r="G21" s="169" t="s">
        <v>38</v>
      </c>
      <c r="H21" s="169"/>
      <c r="I21" s="169" t="s">
        <v>39</v>
      </c>
      <c r="J21" s="169"/>
    </row>
    <row r="22" spans="1:10" x14ac:dyDescent="0.2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x14ac:dyDescent="0.2">
      <c r="A23" s="9">
        <v>1</v>
      </c>
      <c r="B23" s="183" t="s">
        <v>556</v>
      </c>
      <c r="C23" s="128"/>
      <c r="D23" s="9">
        <v>15604</v>
      </c>
      <c r="E23" s="182">
        <v>36586</v>
      </c>
      <c r="F23" s="128"/>
      <c r="G23" s="128" t="s">
        <v>557</v>
      </c>
      <c r="H23" s="128"/>
      <c r="I23" s="239">
        <v>39806</v>
      </c>
      <c r="J23" s="239"/>
    </row>
    <row r="24" spans="1:10" x14ac:dyDescent="0.2">
      <c r="A24" s="19">
        <v>3</v>
      </c>
      <c r="B24" s="137"/>
      <c r="C24" s="137"/>
      <c r="D24" s="19">
        <v>77240</v>
      </c>
      <c r="E24" s="196">
        <v>43185</v>
      </c>
      <c r="F24" s="137"/>
      <c r="G24" s="137" t="s">
        <v>560</v>
      </c>
      <c r="H24" s="137"/>
      <c r="I24" s="138">
        <v>310588.31</v>
      </c>
      <c r="J24" s="138"/>
    </row>
    <row r="25" spans="1:10" x14ac:dyDescent="0.2">
      <c r="A25" s="19">
        <v>5</v>
      </c>
      <c r="B25" s="137"/>
      <c r="C25" s="137"/>
      <c r="D25" s="19">
        <v>99792</v>
      </c>
      <c r="E25" s="196">
        <v>43844</v>
      </c>
      <c r="F25" s="137"/>
      <c r="G25" s="137" t="s">
        <v>561</v>
      </c>
      <c r="H25" s="137"/>
      <c r="I25" s="138">
        <v>170587.86</v>
      </c>
      <c r="J25" s="138"/>
    </row>
    <row r="26" spans="1:10" x14ac:dyDescent="0.2">
      <c r="A26" s="19"/>
      <c r="B26" s="137"/>
      <c r="C26" s="137"/>
      <c r="D26" s="19">
        <v>87270</v>
      </c>
      <c r="E26" s="137" t="s">
        <v>864</v>
      </c>
      <c r="F26" s="137"/>
      <c r="G26" s="137"/>
      <c r="H26" s="137"/>
      <c r="I26" s="138">
        <v>56603.8</v>
      </c>
      <c r="J26" s="138"/>
    </row>
    <row r="27" spans="1:10" x14ac:dyDescent="0.2">
      <c r="A27" s="19"/>
      <c r="B27" s="137"/>
      <c r="C27" s="137"/>
      <c r="D27" s="19">
        <v>90189</v>
      </c>
      <c r="E27" s="137" t="s">
        <v>939</v>
      </c>
      <c r="F27" s="137"/>
      <c r="G27" s="137"/>
      <c r="H27" s="137"/>
      <c r="I27" s="138">
        <v>4854.8</v>
      </c>
      <c r="J27" s="138"/>
    </row>
    <row r="28" spans="1:10" x14ac:dyDescent="0.2">
      <c r="A28" s="9"/>
      <c r="B28" s="128"/>
      <c r="C28" s="128"/>
      <c r="D28" s="9">
        <v>106653</v>
      </c>
      <c r="E28" s="128"/>
      <c r="F28" s="128"/>
      <c r="G28" s="128" t="s">
        <v>1369</v>
      </c>
      <c r="H28" s="128"/>
      <c r="I28" s="136">
        <v>379930.65</v>
      </c>
      <c r="J28" s="136"/>
    </row>
    <row r="29" spans="1:10" x14ac:dyDescent="0.2">
      <c r="A29" s="9"/>
      <c r="B29" s="128"/>
      <c r="C29" s="128"/>
      <c r="D29" s="9">
        <v>117458</v>
      </c>
      <c r="E29" s="128"/>
      <c r="F29" s="128"/>
      <c r="G29" s="128" t="s">
        <v>1564</v>
      </c>
      <c r="H29" s="128"/>
      <c r="I29" s="136">
        <v>106500</v>
      </c>
      <c r="J29" s="136"/>
    </row>
    <row r="30" spans="1:10" x14ac:dyDescent="0.2">
      <c r="A30" s="9"/>
      <c r="B30" s="128"/>
      <c r="C30" s="128"/>
      <c r="D30" s="9"/>
      <c r="E30" s="128"/>
      <c r="F30" s="128"/>
      <c r="G30" s="128"/>
      <c r="H30" s="128"/>
      <c r="I30" s="136"/>
      <c r="J30" s="136"/>
    </row>
    <row r="31" spans="1:10" ht="13.5" thickBot="1" x14ac:dyDescent="0.25">
      <c r="A31" s="9"/>
      <c r="B31" s="128"/>
      <c r="C31" s="128"/>
      <c r="D31" s="9"/>
      <c r="E31" s="128"/>
      <c r="F31" s="128"/>
      <c r="G31" s="128"/>
      <c r="H31" s="128"/>
      <c r="I31" s="226"/>
      <c r="J31" s="226"/>
    </row>
    <row r="32" spans="1:10" ht="13.5" thickTop="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140">
        <f>SUM(I23:J31)</f>
        <v>1068871.42</v>
      </c>
      <c r="J32" s="140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5" t="s">
        <v>46</v>
      </c>
      <c r="B34" s="16"/>
      <c r="C34" s="16"/>
      <c r="D34" s="16"/>
      <c r="E34" s="16"/>
      <c r="F34" s="16"/>
      <c r="G34" s="16"/>
      <c r="H34" s="16"/>
      <c r="I34" s="149" t="s">
        <v>47</v>
      </c>
      <c r="J34" s="150"/>
    </row>
    <row r="35" spans="1:10" x14ac:dyDescent="0.2">
      <c r="A35" s="144" t="s">
        <v>48</v>
      </c>
      <c r="B35" s="144"/>
      <c r="C35" s="144"/>
      <c r="D35" s="144"/>
      <c r="E35" s="144"/>
      <c r="F35" s="144"/>
      <c r="G35" s="144"/>
      <c r="H35" s="144"/>
      <c r="I35" s="148">
        <f>I18*80%</f>
        <v>1579490.696</v>
      </c>
      <c r="J35" s="148"/>
    </row>
    <row r="36" spans="1:10" x14ac:dyDescent="0.2">
      <c r="A36" s="144" t="s">
        <v>558</v>
      </c>
      <c r="B36" s="144"/>
      <c r="C36" s="144"/>
      <c r="D36" s="144"/>
      <c r="E36" s="144"/>
      <c r="F36" s="144"/>
      <c r="G36" s="144"/>
      <c r="H36" s="144"/>
      <c r="I36" s="184">
        <f>-250000+485523</f>
        <v>235523</v>
      </c>
      <c r="J36" s="184"/>
    </row>
    <row r="37" spans="1:10" x14ac:dyDescent="0.2">
      <c r="A37" s="185" t="s">
        <v>7</v>
      </c>
      <c r="B37" s="142"/>
      <c r="C37" s="142"/>
      <c r="D37" s="142"/>
      <c r="E37" s="142"/>
      <c r="F37" s="142"/>
      <c r="G37" s="142"/>
      <c r="H37" s="143"/>
      <c r="I37" s="146">
        <v>-200000</v>
      </c>
      <c r="J37" s="147"/>
    </row>
    <row r="38" spans="1:10" x14ac:dyDescent="0.2">
      <c r="A38" s="185" t="s">
        <v>10</v>
      </c>
      <c r="B38" s="142"/>
      <c r="C38" s="142"/>
      <c r="D38" s="142"/>
      <c r="E38" s="142"/>
      <c r="F38" s="142"/>
      <c r="G38" s="142"/>
      <c r="H38" s="143"/>
      <c r="I38" s="146">
        <v>-50000</v>
      </c>
      <c r="J38" s="147"/>
    </row>
    <row r="39" spans="1:10" x14ac:dyDescent="0.2">
      <c r="A39" s="186" t="s">
        <v>1366</v>
      </c>
      <c r="B39" s="142"/>
      <c r="C39" s="142"/>
      <c r="D39" s="142"/>
      <c r="E39" s="142"/>
      <c r="F39" s="142"/>
      <c r="G39" s="142"/>
      <c r="H39" s="143"/>
      <c r="I39" s="146">
        <v>8774.83</v>
      </c>
      <c r="J39" s="147"/>
    </row>
    <row r="40" spans="1:10" x14ac:dyDescent="0.2">
      <c r="A40" s="187" t="s">
        <v>1397</v>
      </c>
      <c r="B40" s="188"/>
      <c r="C40" s="188"/>
      <c r="D40" s="188"/>
      <c r="E40" s="188"/>
      <c r="F40" s="188"/>
      <c r="G40" s="188"/>
      <c r="H40" s="189"/>
      <c r="I40" s="190">
        <v>-39612.870000000003</v>
      </c>
      <c r="J40" s="191"/>
    </row>
    <row r="41" spans="1:10" x14ac:dyDescent="0.2">
      <c r="A41" s="187" t="s">
        <v>1404</v>
      </c>
      <c r="B41" s="188"/>
      <c r="C41" s="188"/>
      <c r="D41" s="188"/>
      <c r="E41" s="188"/>
      <c r="F41" s="188"/>
      <c r="G41" s="188"/>
      <c r="H41" s="189"/>
      <c r="I41" s="190">
        <v>-40191</v>
      </c>
      <c r="J41" s="191"/>
    </row>
    <row r="42" spans="1:10" x14ac:dyDescent="0.2">
      <c r="A42" s="186"/>
      <c r="B42" s="142"/>
      <c r="C42" s="142"/>
      <c r="D42" s="142"/>
      <c r="E42" s="142"/>
      <c r="F42" s="142"/>
      <c r="G42" s="142"/>
      <c r="H42" s="143"/>
      <c r="I42" s="146"/>
      <c r="J42" s="147"/>
    </row>
    <row r="43" spans="1:10" ht="13.5" thickBot="1" x14ac:dyDescent="0.25">
      <c r="A43" s="144" t="s">
        <v>50</v>
      </c>
      <c r="B43" s="144"/>
      <c r="C43" s="144"/>
      <c r="D43" s="144"/>
      <c r="E43" s="144"/>
      <c r="F43" s="144"/>
      <c r="G43" s="144"/>
      <c r="H43" s="144"/>
      <c r="I43" s="145">
        <f>I32</f>
        <v>1068871.42</v>
      </c>
      <c r="J43" s="145"/>
    </row>
    <row r="44" spans="1:10" ht="13.5" thickTop="1" x14ac:dyDescent="0.2">
      <c r="H44" s="18" t="s">
        <v>33</v>
      </c>
      <c r="I44" s="129">
        <f>I35+I36+I37+I38+I39+I40+I41-I43</f>
        <v>425113.23600000003</v>
      </c>
      <c r="J44" s="130"/>
    </row>
    <row r="46" spans="1:10" ht="15" x14ac:dyDescent="0.25">
      <c r="A46" s="131" t="s">
        <v>51</v>
      </c>
      <c r="B46" s="132"/>
      <c r="C46" s="132"/>
      <c r="D46" s="132"/>
      <c r="E46" s="132"/>
      <c r="F46" s="132"/>
      <c r="G46" s="132"/>
      <c r="H46" s="132"/>
      <c r="I46" s="132"/>
      <c r="J46" s="133"/>
    </row>
    <row r="47" spans="1:10" x14ac:dyDescent="0.2">
      <c r="A47" s="139" t="s">
        <v>559</v>
      </c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  <row r="49" spans="1:10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</sheetData>
  <mergeCells count="111">
    <mergeCell ref="B29:C29"/>
    <mergeCell ref="E29:F29"/>
    <mergeCell ref="G29:H29"/>
    <mergeCell ref="I29:J29"/>
    <mergeCell ref="B8:C8"/>
    <mergeCell ref="D8:E8"/>
    <mergeCell ref="G8:H8"/>
    <mergeCell ref="B11:C11"/>
    <mergeCell ref="D11:E11"/>
    <mergeCell ref="G11:H11"/>
    <mergeCell ref="B14:C14"/>
    <mergeCell ref="D14:E14"/>
    <mergeCell ref="G14:H14"/>
    <mergeCell ref="B13:C13"/>
    <mergeCell ref="D13:E13"/>
    <mergeCell ref="G13:H13"/>
    <mergeCell ref="B12:C12"/>
    <mergeCell ref="D12:E12"/>
    <mergeCell ref="G12:H12"/>
    <mergeCell ref="B15:C15"/>
    <mergeCell ref="D15:E15"/>
    <mergeCell ref="G15:H15"/>
    <mergeCell ref="A20:J20"/>
    <mergeCell ref="A21:A22"/>
    <mergeCell ref="A41:H41"/>
    <mergeCell ref="I41:J41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10:C10"/>
    <mergeCell ref="D10:E10"/>
    <mergeCell ref="G10:H10"/>
    <mergeCell ref="I27:J27"/>
    <mergeCell ref="G16:H16"/>
    <mergeCell ref="B17:C17"/>
    <mergeCell ref="A47:J52"/>
    <mergeCell ref="I4:I5"/>
    <mergeCell ref="J4:J5"/>
    <mergeCell ref="A36:H36"/>
    <mergeCell ref="I36:J36"/>
    <mergeCell ref="A43:H43"/>
    <mergeCell ref="I43:J43"/>
    <mergeCell ref="I32:J32"/>
    <mergeCell ref="I34:J34"/>
    <mergeCell ref="A35:H35"/>
    <mergeCell ref="B16:C16"/>
    <mergeCell ref="I44:J44"/>
    <mergeCell ref="A46:J46"/>
    <mergeCell ref="A38:H38"/>
    <mergeCell ref="I38:J38"/>
    <mergeCell ref="I35:J35"/>
    <mergeCell ref="B31:C31"/>
    <mergeCell ref="A39:H39"/>
    <mergeCell ref="A37:H37"/>
    <mergeCell ref="E31:F31"/>
    <mergeCell ref="D17:E17"/>
    <mergeCell ref="G17:H17"/>
    <mergeCell ref="E26:F26"/>
    <mergeCell ref="G26:H26"/>
    <mergeCell ref="B21:C22"/>
    <mergeCell ref="D21:D22"/>
    <mergeCell ref="E21:F22"/>
    <mergeCell ref="G21:H22"/>
    <mergeCell ref="I21:J22"/>
    <mergeCell ref="B27:C27"/>
    <mergeCell ref="B23:C23"/>
    <mergeCell ref="E23:F23"/>
    <mergeCell ref="G23:H23"/>
    <mergeCell ref="I23:J23"/>
    <mergeCell ref="B24:C24"/>
    <mergeCell ref="E24:F24"/>
    <mergeCell ref="G24:H24"/>
    <mergeCell ref="I25:J25"/>
    <mergeCell ref="B26:C26"/>
    <mergeCell ref="A40:H40"/>
    <mergeCell ref="I40:J40"/>
    <mergeCell ref="A42:H42"/>
    <mergeCell ref="I42:J42"/>
    <mergeCell ref="D16:E16"/>
    <mergeCell ref="B28:C28"/>
    <mergeCell ref="E28:F28"/>
    <mergeCell ref="E27:F27"/>
    <mergeCell ref="E25:F25"/>
    <mergeCell ref="G28:H28"/>
    <mergeCell ref="I39:J39"/>
    <mergeCell ref="I37:J37"/>
    <mergeCell ref="B30:C30"/>
    <mergeCell ref="E30:F30"/>
    <mergeCell ref="G30:H30"/>
    <mergeCell ref="I30:J30"/>
    <mergeCell ref="I31:J31"/>
    <mergeCell ref="G31:H31"/>
    <mergeCell ref="I28:J28"/>
    <mergeCell ref="G27:H27"/>
    <mergeCell ref="I24:J24"/>
    <mergeCell ref="I26:J26"/>
    <mergeCell ref="B25:C25"/>
    <mergeCell ref="G25:H25"/>
  </mergeCells>
  <phoneticPr fontId="6" type="noConversion"/>
  <pageMargins left="0.75" right="0.75" top="1" bottom="1" header="0.5" footer="0.5"/>
  <pageSetup scale="8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1">
    <pageSetUpPr fitToPage="1"/>
  </sheetPr>
  <dimension ref="A1:K49"/>
  <sheetViews>
    <sheetView topLeftCell="A7" workbookViewId="0">
      <selection activeCell="A15" sqref="A15"/>
    </sheetView>
  </sheetViews>
  <sheetFormatPr defaultRowHeight="12.75" x14ac:dyDescent="0.2"/>
  <cols>
    <col min="6" max="6" width="12.28515625" customWidth="1"/>
    <col min="8" max="8" width="14.5703125" customWidth="1"/>
    <col min="9" max="9" width="14.140625" customWidth="1"/>
    <col min="10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562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290" t="s">
        <v>27</v>
      </c>
      <c r="J4" s="344" t="s">
        <v>834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233"/>
      <c r="J5" s="233"/>
    </row>
    <row r="6" spans="1:11" x14ac:dyDescent="0.2">
      <c r="A6" s="9">
        <v>1</v>
      </c>
      <c r="B6" s="128">
        <v>6032532</v>
      </c>
      <c r="C6" s="128"/>
      <c r="D6" s="128">
        <v>6032540</v>
      </c>
      <c r="E6" s="128"/>
      <c r="F6" s="12">
        <v>35314</v>
      </c>
      <c r="G6" s="169" t="s">
        <v>563</v>
      </c>
      <c r="H6" s="169"/>
      <c r="I6" s="64">
        <v>150646.67000000001</v>
      </c>
      <c r="J6" s="64">
        <f t="shared" ref="J6:J14" si="0">I6*0.8</f>
        <v>120517.33600000001</v>
      </c>
    </row>
    <row r="7" spans="1:11" x14ac:dyDescent="0.2">
      <c r="A7" s="9">
        <v>2</v>
      </c>
      <c r="B7" s="128">
        <v>6048196</v>
      </c>
      <c r="C7" s="128"/>
      <c r="D7" s="128">
        <v>6048218</v>
      </c>
      <c r="E7" s="128"/>
      <c r="F7" s="12">
        <v>35314</v>
      </c>
      <c r="G7" s="169" t="s">
        <v>564</v>
      </c>
      <c r="H7" s="169"/>
      <c r="I7" s="64">
        <v>118244.17</v>
      </c>
      <c r="J7" s="64">
        <f t="shared" si="0"/>
        <v>94595.33600000001</v>
      </c>
    </row>
    <row r="8" spans="1:11" x14ac:dyDescent="0.2">
      <c r="A8" s="9">
        <v>3</v>
      </c>
      <c r="B8" s="128">
        <v>6034403</v>
      </c>
      <c r="C8" s="128"/>
      <c r="D8" s="128">
        <v>6304411</v>
      </c>
      <c r="E8" s="128"/>
      <c r="F8" s="12">
        <v>35314</v>
      </c>
      <c r="G8" s="169" t="s">
        <v>565</v>
      </c>
      <c r="H8" s="169"/>
      <c r="I8" s="64">
        <v>161194.16</v>
      </c>
      <c r="J8" s="64">
        <f t="shared" si="0"/>
        <v>128955.32800000001</v>
      </c>
      <c r="K8" s="107"/>
    </row>
    <row r="9" spans="1:11" x14ac:dyDescent="0.2">
      <c r="A9" s="9">
        <v>4</v>
      </c>
      <c r="B9" s="128">
        <v>6037305</v>
      </c>
      <c r="C9" s="128"/>
      <c r="D9" s="128">
        <v>6037305</v>
      </c>
      <c r="E9" s="128"/>
      <c r="F9" s="12">
        <v>40987</v>
      </c>
      <c r="G9" s="169"/>
      <c r="H9" s="169"/>
      <c r="I9" s="64">
        <v>544397.9</v>
      </c>
      <c r="J9" s="64">
        <f t="shared" si="0"/>
        <v>435518.32000000007</v>
      </c>
    </row>
    <row r="10" spans="1:11" x14ac:dyDescent="0.2">
      <c r="A10" s="9">
        <v>5</v>
      </c>
      <c r="B10" s="128">
        <v>6032095</v>
      </c>
      <c r="C10" s="128"/>
      <c r="D10" s="137" t="s">
        <v>1165</v>
      </c>
      <c r="E10" s="128"/>
      <c r="F10" s="12">
        <v>42233</v>
      </c>
      <c r="G10" s="169"/>
      <c r="H10" s="169"/>
      <c r="I10" s="64">
        <v>127359.31</v>
      </c>
      <c r="J10" s="64">
        <f t="shared" si="0"/>
        <v>101887.448</v>
      </c>
    </row>
    <row r="11" spans="1:11" x14ac:dyDescent="0.2">
      <c r="A11" s="9">
        <v>6</v>
      </c>
      <c r="B11" s="128">
        <v>6048366</v>
      </c>
      <c r="C11" s="128"/>
      <c r="D11" s="128">
        <v>6048374</v>
      </c>
      <c r="E11" s="128"/>
      <c r="F11" s="12">
        <v>42233</v>
      </c>
      <c r="G11" s="169"/>
      <c r="H11" s="169"/>
      <c r="I11" s="64">
        <v>131271.5</v>
      </c>
      <c r="J11" s="64">
        <f t="shared" si="0"/>
        <v>105017.20000000001</v>
      </c>
    </row>
    <row r="12" spans="1:11" x14ac:dyDescent="0.2">
      <c r="A12" s="9">
        <v>7</v>
      </c>
      <c r="B12" s="128">
        <v>6038190</v>
      </c>
      <c r="C12" s="128"/>
      <c r="D12" s="230" t="s">
        <v>1151</v>
      </c>
      <c r="E12" s="128"/>
      <c r="F12" s="12">
        <v>42810</v>
      </c>
      <c r="G12" s="169"/>
      <c r="H12" s="169"/>
      <c r="I12" s="64">
        <v>156156.34</v>
      </c>
      <c r="J12" s="64">
        <f t="shared" si="0"/>
        <v>124925.072</v>
      </c>
    </row>
    <row r="13" spans="1:11" x14ac:dyDescent="0.2">
      <c r="A13" s="9">
        <v>8</v>
      </c>
      <c r="B13" s="128">
        <v>6032540</v>
      </c>
      <c r="C13" s="128"/>
      <c r="D13" s="137" t="s">
        <v>1151</v>
      </c>
      <c r="E13" s="128"/>
      <c r="F13" s="12">
        <v>43026</v>
      </c>
      <c r="G13" s="169"/>
      <c r="H13" s="169"/>
      <c r="I13" s="64">
        <v>83333.25</v>
      </c>
      <c r="J13" s="64">
        <f t="shared" si="0"/>
        <v>66666.600000000006</v>
      </c>
    </row>
    <row r="14" spans="1:11" x14ac:dyDescent="0.2">
      <c r="A14" s="9">
        <v>9</v>
      </c>
      <c r="B14" s="128">
        <v>6038727</v>
      </c>
      <c r="C14" s="128"/>
      <c r="D14" s="128">
        <v>6038728</v>
      </c>
      <c r="E14" s="128"/>
      <c r="F14" s="12">
        <v>45140</v>
      </c>
      <c r="G14" s="169" t="s">
        <v>1639</v>
      </c>
      <c r="H14" s="169"/>
      <c r="I14" s="64">
        <v>302471.90000000002</v>
      </c>
      <c r="J14" s="64">
        <f t="shared" si="0"/>
        <v>241977.52000000002</v>
      </c>
    </row>
    <row r="15" spans="1:11" ht="13.5" thickBot="1" x14ac:dyDescent="0.25">
      <c r="A15" s="9"/>
      <c r="B15" s="128"/>
      <c r="C15" s="128"/>
      <c r="D15" s="128"/>
      <c r="E15" s="128"/>
      <c r="F15" s="12"/>
      <c r="G15" s="169"/>
      <c r="H15" s="169"/>
      <c r="I15" s="65"/>
      <c r="J15" s="65"/>
    </row>
    <row r="16" spans="1:11" ht="13.5" thickTop="1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66">
        <f>SUM(I6:I15)</f>
        <v>1775075.2000000002</v>
      </c>
      <c r="J16" s="66">
        <f>I16*0.8</f>
        <v>1420060.1600000001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1" t="s">
        <v>34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x14ac:dyDescent="0.2">
      <c r="A19" s="169" t="s">
        <v>23</v>
      </c>
      <c r="B19" s="169" t="s">
        <v>35</v>
      </c>
      <c r="C19" s="169"/>
      <c r="D19" s="169" t="s">
        <v>36</v>
      </c>
      <c r="E19" s="169" t="s">
        <v>37</v>
      </c>
      <c r="F19" s="169"/>
      <c r="G19" s="169" t="s">
        <v>38</v>
      </c>
      <c r="H19" s="169"/>
      <c r="I19" s="169" t="s">
        <v>39</v>
      </c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9">
        <v>1</v>
      </c>
      <c r="B21" s="183" t="s">
        <v>566</v>
      </c>
      <c r="C21" s="128"/>
      <c r="D21" s="9">
        <v>13616</v>
      </c>
      <c r="E21" s="182">
        <v>36951</v>
      </c>
      <c r="F21" s="128"/>
      <c r="G21" s="128" t="s">
        <v>567</v>
      </c>
      <c r="H21" s="128"/>
      <c r="I21" s="136">
        <v>276073</v>
      </c>
      <c r="J21" s="136"/>
    </row>
    <row r="22" spans="1:10" x14ac:dyDescent="0.2">
      <c r="A22" s="19">
        <v>2</v>
      </c>
      <c r="B22" s="137"/>
      <c r="C22" s="137"/>
      <c r="D22" s="19">
        <v>82217</v>
      </c>
      <c r="E22" s="196">
        <v>41649</v>
      </c>
      <c r="F22" s="137"/>
      <c r="G22" s="137" t="s">
        <v>1005</v>
      </c>
      <c r="H22" s="137"/>
      <c r="I22" s="138">
        <v>138817.34</v>
      </c>
      <c r="J22" s="138"/>
    </row>
    <row r="23" spans="1:10" x14ac:dyDescent="0.2">
      <c r="A23" s="19">
        <v>3</v>
      </c>
      <c r="B23" s="137"/>
      <c r="C23" s="137"/>
      <c r="D23" s="19">
        <v>80762</v>
      </c>
      <c r="E23" s="196">
        <v>42495</v>
      </c>
      <c r="F23" s="137"/>
      <c r="G23" s="137" t="s">
        <v>1006</v>
      </c>
      <c r="H23" s="137"/>
      <c r="I23" s="138">
        <v>217564.88</v>
      </c>
      <c r="J23" s="138"/>
    </row>
    <row r="24" spans="1:10" x14ac:dyDescent="0.2">
      <c r="A24" s="19">
        <v>4</v>
      </c>
      <c r="B24" s="137">
        <v>457426</v>
      </c>
      <c r="C24" s="137"/>
      <c r="D24" s="19">
        <v>87216</v>
      </c>
      <c r="E24" s="196">
        <v>43272</v>
      </c>
      <c r="F24" s="137"/>
      <c r="G24" s="137" t="s">
        <v>1156</v>
      </c>
      <c r="H24" s="137"/>
      <c r="I24" s="138">
        <v>63755.33</v>
      </c>
      <c r="J24" s="138"/>
    </row>
    <row r="25" spans="1:10" x14ac:dyDescent="0.2">
      <c r="A25" s="19">
        <v>5</v>
      </c>
      <c r="B25" s="137">
        <v>457545</v>
      </c>
      <c r="C25" s="137"/>
      <c r="D25" s="19">
        <v>89159</v>
      </c>
      <c r="E25" s="196">
        <v>43447</v>
      </c>
      <c r="F25" s="137"/>
      <c r="G25" s="137" t="s">
        <v>1217</v>
      </c>
      <c r="H25" s="137"/>
      <c r="I25" s="138">
        <v>69667.59</v>
      </c>
      <c r="J25" s="138"/>
    </row>
    <row r="26" spans="1:10" x14ac:dyDescent="0.2">
      <c r="A26" s="19"/>
      <c r="B26" s="137"/>
      <c r="C26" s="137"/>
      <c r="D26" s="19">
        <v>97346</v>
      </c>
      <c r="E26" s="164"/>
      <c r="F26" s="165"/>
      <c r="G26" s="342" t="s">
        <v>1216</v>
      </c>
      <c r="H26" s="165"/>
      <c r="I26" s="138">
        <v>315300</v>
      </c>
      <c r="J26" s="138"/>
    </row>
    <row r="27" spans="1:10" x14ac:dyDescent="0.2">
      <c r="A27" s="19"/>
      <c r="B27" s="137"/>
      <c r="C27" s="137"/>
      <c r="D27" s="19">
        <v>97346</v>
      </c>
      <c r="E27" s="164"/>
      <c r="F27" s="165"/>
      <c r="G27" s="342" t="s">
        <v>1236</v>
      </c>
      <c r="H27" s="165"/>
      <c r="I27" s="138">
        <v>3884.59</v>
      </c>
      <c r="J27" s="138"/>
    </row>
    <row r="28" spans="1:10" x14ac:dyDescent="0.2">
      <c r="A28" s="19"/>
      <c r="B28" s="137"/>
      <c r="C28" s="137"/>
      <c r="D28" s="19">
        <v>104046</v>
      </c>
      <c r="E28" s="137"/>
      <c r="F28" s="137"/>
      <c r="G28" s="137" t="s">
        <v>1311</v>
      </c>
      <c r="H28" s="137"/>
      <c r="I28" s="138">
        <v>118583.55</v>
      </c>
      <c r="J28" s="138"/>
    </row>
    <row r="29" spans="1:10" x14ac:dyDescent="0.2">
      <c r="A29" s="82"/>
      <c r="B29" s="198"/>
      <c r="C29" s="198"/>
      <c r="D29" s="82"/>
      <c r="E29" s="198"/>
      <c r="F29" s="198"/>
      <c r="G29" s="198" t="s">
        <v>1601</v>
      </c>
      <c r="H29" s="198"/>
      <c r="I29" s="199">
        <v>218850</v>
      </c>
      <c r="J29" s="199"/>
    </row>
    <row r="30" spans="1:10" x14ac:dyDescent="0.2">
      <c r="A30" s="82"/>
      <c r="B30" s="198"/>
      <c r="C30" s="198"/>
      <c r="D30" s="82">
        <v>115541</v>
      </c>
      <c r="E30" s="198"/>
      <c r="F30" s="198"/>
      <c r="G30" s="198" t="s">
        <v>1479</v>
      </c>
      <c r="H30" s="198"/>
      <c r="I30" s="199">
        <v>208650</v>
      </c>
      <c r="J30" s="199"/>
    </row>
    <row r="31" spans="1:10" x14ac:dyDescent="0.2">
      <c r="A31" s="9"/>
      <c r="B31" s="128"/>
      <c r="C31" s="128"/>
      <c r="D31" s="9"/>
      <c r="E31" s="128"/>
      <c r="F31" s="128"/>
      <c r="G31" s="128" t="s">
        <v>1610</v>
      </c>
      <c r="H31" s="128"/>
      <c r="I31" s="136">
        <v>270450</v>
      </c>
      <c r="J31" s="136"/>
    </row>
    <row r="32" spans="1:10" x14ac:dyDescent="0.2">
      <c r="A32" s="123"/>
      <c r="B32" s="256"/>
      <c r="C32" s="256"/>
      <c r="D32" s="123"/>
      <c r="E32" s="256"/>
      <c r="F32" s="256"/>
      <c r="G32" s="256" t="s">
        <v>1634</v>
      </c>
      <c r="H32" s="256"/>
      <c r="I32" s="257">
        <v>202590</v>
      </c>
      <c r="J32" s="257"/>
    </row>
    <row r="33" spans="1:10" ht="13.5" thickBot="1" x14ac:dyDescent="0.25">
      <c r="A33" s="123"/>
      <c r="B33" s="256"/>
      <c r="C33" s="256"/>
      <c r="D33" s="123"/>
      <c r="E33" s="256"/>
      <c r="F33" s="256"/>
      <c r="G33" s="256" t="s">
        <v>1635</v>
      </c>
      <c r="H33" s="256"/>
      <c r="I33" s="343">
        <v>109740</v>
      </c>
      <c r="J33" s="343"/>
    </row>
    <row r="34" spans="1:10" ht="13.5" thickTop="1" x14ac:dyDescent="0.2">
      <c r="A34" s="13"/>
      <c r="B34" s="13"/>
      <c r="C34" s="13"/>
      <c r="D34" s="13"/>
      <c r="E34" s="13"/>
      <c r="F34" s="13"/>
      <c r="G34" s="13"/>
      <c r="H34" s="13" t="s">
        <v>33</v>
      </c>
      <c r="I34" s="140">
        <f>SUM(I21:J33)</f>
        <v>2213926.2800000003</v>
      </c>
      <c r="J34" s="140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x14ac:dyDescent="0.25">
      <c r="A36" s="15" t="s">
        <v>46</v>
      </c>
      <c r="B36" s="16"/>
      <c r="C36" s="16"/>
      <c r="D36" s="16"/>
      <c r="E36" s="16"/>
      <c r="F36" s="16"/>
      <c r="G36" s="16"/>
      <c r="H36" s="16"/>
      <c r="I36" s="149" t="s">
        <v>47</v>
      </c>
      <c r="J36" s="150"/>
    </row>
    <row r="37" spans="1:10" x14ac:dyDescent="0.2">
      <c r="A37" s="144" t="s">
        <v>48</v>
      </c>
      <c r="B37" s="144"/>
      <c r="C37" s="144"/>
      <c r="D37" s="144"/>
      <c r="E37" s="144"/>
      <c r="F37" s="144"/>
      <c r="G37" s="144"/>
      <c r="H37" s="144"/>
      <c r="I37" s="148">
        <f>I16*80%</f>
        <v>1420060.1600000001</v>
      </c>
      <c r="J37" s="148"/>
    </row>
    <row r="38" spans="1:10" x14ac:dyDescent="0.2">
      <c r="A38" s="144" t="s">
        <v>49</v>
      </c>
      <c r="B38" s="144"/>
      <c r="C38" s="144"/>
      <c r="D38" s="144"/>
      <c r="E38" s="144"/>
      <c r="F38" s="144"/>
      <c r="G38" s="144"/>
      <c r="H38" s="144"/>
      <c r="I38" s="184">
        <v>-67995</v>
      </c>
      <c r="J38" s="184"/>
    </row>
    <row r="39" spans="1:10" x14ac:dyDescent="0.2">
      <c r="A39" s="231" t="s">
        <v>1207</v>
      </c>
      <c r="B39" s="144"/>
      <c r="C39" s="144"/>
      <c r="D39" s="144"/>
      <c r="E39" s="144"/>
      <c r="F39" s="144"/>
      <c r="G39" s="144"/>
      <c r="H39" s="144"/>
      <c r="I39" s="184">
        <v>1750000</v>
      </c>
      <c r="J39" s="184"/>
    </row>
    <row r="40" spans="1:10" ht="13.5" thickBot="1" x14ac:dyDescent="0.25">
      <c r="A40" s="144" t="s">
        <v>50</v>
      </c>
      <c r="B40" s="144"/>
      <c r="C40" s="144"/>
      <c r="D40" s="144"/>
      <c r="E40" s="144"/>
      <c r="F40" s="144"/>
      <c r="G40" s="144"/>
      <c r="H40" s="144"/>
      <c r="I40" s="145">
        <f>I34</f>
        <v>2213926.2800000003</v>
      </c>
      <c r="J40" s="145"/>
    </row>
    <row r="41" spans="1:10" ht="13.5" thickTop="1" x14ac:dyDescent="0.2">
      <c r="H41" s="18" t="s">
        <v>33</v>
      </c>
      <c r="I41" s="129">
        <f>I37+I38+I39-I40</f>
        <v>888138.87999999989</v>
      </c>
      <c r="J41" s="130"/>
    </row>
    <row r="43" spans="1:10" ht="15" x14ac:dyDescent="0.25">
      <c r="A43" s="131" t="s">
        <v>51</v>
      </c>
      <c r="B43" s="132"/>
      <c r="C43" s="132"/>
      <c r="D43" s="132"/>
      <c r="E43" s="132"/>
      <c r="F43" s="132"/>
      <c r="G43" s="132"/>
      <c r="H43" s="132"/>
      <c r="I43" s="132"/>
      <c r="J43" s="133"/>
    </row>
    <row r="44" spans="1:10" x14ac:dyDescent="0.2">
      <c r="A44" s="139" t="s">
        <v>568</v>
      </c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  <row r="49" spans="1:10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</sheetData>
  <mergeCells count="111">
    <mergeCell ref="A18:J18"/>
    <mergeCell ref="A19:A20"/>
    <mergeCell ref="B19:C20"/>
    <mergeCell ref="D19:D20"/>
    <mergeCell ref="E19:F20"/>
    <mergeCell ref="G19:H20"/>
    <mergeCell ref="I19:J20"/>
    <mergeCell ref="B22:C22"/>
    <mergeCell ref="E22:F22"/>
    <mergeCell ref="G22:H22"/>
    <mergeCell ref="I22:J22"/>
    <mergeCell ref="B21:C21"/>
    <mergeCell ref="E21:F21"/>
    <mergeCell ref="G21:H21"/>
    <mergeCell ref="I21:J21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15:C15"/>
    <mergeCell ref="D15:E15"/>
    <mergeCell ref="G15:H15"/>
    <mergeCell ref="B14:C14"/>
    <mergeCell ref="D14:E14"/>
    <mergeCell ref="G14:H14"/>
    <mergeCell ref="B12:C12"/>
    <mergeCell ref="D12:E12"/>
    <mergeCell ref="G12:H12"/>
    <mergeCell ref="B13:C13"/>
    <mergeCell ref="D13:E13"/>
    <mergeCell ref="G13:H13"/>
    <mergeCell ref="B33:C33"/>
    <mergeCell ref="E33:F33"/>
    <mergeCell ref="G33:H33"/>
    <mergeCell ref="E23:F23"/>
    <mergeCell ref="G23:H23"/>
    <mergeCell ref="I23:J23"/>
    <mergeCell ref="B25:C25"/>
    <mergeCell ref="E25:F25"/>
    <mergeCell ref="G25:H25"/>
    <mergeCell ref="I25:J25"/>
    <mergeCell ref="E30:F30"/>
    <mergeCell ref="G30:H30"/>
    <mergeCell ref="I30:J30"/>
    <mergeCell ref="B23:C23"/>
    <mergeCell ref="I33:J33"/>
    <mergeCell ref="G27:H27"/>
    <mergeCell ref="I27:J27"/>
    <mergeCell ref="E26:F26"/>
    <mergeCell ref="B24:C24"/>
    <mergeCell ref="E24:F24"/>
    <mergeCell ref="G24:H24"/>
    <mergeCell ref="I24:J24"/>
    <mergeCell ref="B26:C26"/>
    <mergeCell ref="I26:J26"/>
    <mergeCell ref="A44:J49"/>
    <mergeCell ref="A38:H38"/>
    <mergeCell ref="I38:J38"/>
    <mergeCell ref="A40:H40"/>
    <mergeCell ref="I40:J40"/>
    <mergeCell ref="A39:H39"/>
    <mergeCell ref="I39:J39"/>
    <mergeCell ref="I41:J41"/>
    <mergeCell ref="I34:J34"/>
    <mergeCell ref="I36:J36"/>
    <mergeCell ref="A37:H37"/>
    <mergeCell ref="I37:J37"/>
    <mergeCell ref="A43:J43"/>
    <mergeCell ref="G26:H26"/>
    <mergeCell ref="B27:C27"/>
    <mergeCell ref="E27:F27"/>
    <mergeCell ref="B32:C32"/>
    <mergeCell ref="E32:F32"/>
    <mergeCell ref="G32:H32"/>
    <mergeCell ref="I32:J32"/>
    <mergeCell ref="B28:C28"/>
    <mergeCell ref="B30:C30"/>
    <mergeCell ref="E28:F28"/>
    <mergeCell ref="G28:H28"/>
    <mergeCell ref="I28:J28"/>
    <mergeCell ref="B29:C29"/>
    <mergeCell ref="E29:F29"/>
    <mergeCell ref="G29:H29"/>
    <mergeCell ref="I29:J29"/>
    <mergeCell ref="B31:C31"/>
    <mergeCell ref="E31:F31"/>
    <mergeCell ref="G31:H31"/>
    <mergeCell ref="I31:J31"/>
  </mergeCells>
  <phoneticPr fontId="6" type="noConversion"/>
  <pageMargins left="0.75" right="0.75" top="1" bottom="1" header="0.5" footer="0.5"/>
  <pageSetup scale="83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2">
    <pageSetUpPr fitToPage="1"/>
  </sheetPr>
  <dimension ref="A1:J47"/>
  <sheetViews>
    <sheetView workbookViewId="0">
      <selection activeCell="I13" sqref="I13"/>
    </sheetView>
  </sheetViews>
  <sheetFormatPr defaultRowHeight="12.75" x14ac:dyDescent="0.2"/>
  <cols>
    <col min="6" max="6" width="12.28515625" customWidth="1"/>
    <col min="7" max="7" width="11.5703125" customWidth="1"/>
    <col min="8" max="8" width="15.85546875" customWidth="1"/>
    <col min="9" max="9" width="13.7109375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854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69" t="s">
        <v>834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6232981</v>
      </c>
      <c r="C6" s="128"/>
      <c r="D6" s="128" t="s">
        <v>814</v>
      </c>
      <c r="E6" s="128"/>
      <c r="F6" s="12">
        <v>40218</v>
      </c>
      <c r="G6" s="169" t="s">
        <v>1539</v>
      </c>
      <c r="H6" s="169"/>
      <c r="I6" s="32">
        <v>323078.36</v>
      </c>
      <c r="J6" s="32">
        <f t="shared" ref="J6:J15" si="0">I6*0.8</f>
        <v>258462.68799999999</v>
      </c>
    </row>
    <row r="7" spans="1:10" x14ac:dyDescent="0.2">
      <c r="A7" s="9">
        <v>2</v>
      </c>
      <c r="B7" s="128">
        <v>6238424</v>
      </c>
      <c r="C7" s="128"/>
      <c r="D7" s="128">
        <v>6238424</v>
      </c>
      <c r="E7" s="128"/>
      <c r="F7" s="12">
        <v>40987</v>
      </c>
      <c r="G7" s="169" t="s">
        <v>1540</v>
      </c>
      <c r="H7" s="169"/>
      <c r="I7" s="32">
        <v>280896.08</v>
      </c>
      <c r="J7" s="32">
        <f t="shared" si="0"/>
        <v>224716.86400000003</v>
      </c>
    </row>
    <row r="8" spans="1:10" x14ac:dyDescent="0.2">
      <c r="A8" s="9">
        <v>3</v>
      </c>
      <c r="B8" s="128">
        <v>6232191</v>
      </c>
      <c r="C8" s="128"/>
      <c r="D8" s="128">
        <v>6232256</v>
      </c>
      <c r="E8" s="128"/>
      <c r="F8" s="12">
        <v>41298</v>
      </c>
      <c r="G8" s="169" t="s">
        <v>1541</v>
      </c>
      <c r="H8" s="169"/>
      <c r="I8" s="32">
        <v>125251.5</v>
      </c>
      <c r="J8" s="32">
        <f t="shared" si="0"/>
        <v>100201.20000000001</v>
      </c>
    </row>
    <row r="9" spans="1:10" x14ac:dyDescent="0.2">
      <c r="A9" s="9">
        <v>4</v>
      </c>
      <c r="B9" s="128">
        <v>6235271</v>
      </c>
      <c r="C9" s="128"/>
      <c r="D9" s="128">
        <v>6235298</v>
      </c>
      <c r="E9" s="128"/>
      <c r="F9" s="12">
        <v>41869</v>
      </c>
      <c r="G9" s="169" t="s">
        <v>1542</v>
      </c>
      <c r="H9" s="169"/>
      <c r="I9" s="32">
        <v>142100.75</v>
      </c>
      <c r="J9" s="32">
        <f t="shared" si="0"/>
        <v>113680.6</v>
      </c>
    </row>
    <row r="10" spans="1:10" x14ac:dyDescent="0.2">
      <c r="A10" s="9">
        <v>5</v>
      </c>
      <c r="B10" s="128">
        <v>6233015</v>
      </c>
      <c r="C10" s="128"/>
      <c r="D10" s="128">
        <v>6233023</v>
      </c>
      <c r="E10" s="128"/>
      <c r="F10" s="12">
        <v>41869</v>
      </c>
      <c r="G10" s="169" t="s">
        <v>1543</v>
      </c>
      <c r="H10" s="169"/>
      <c r="I10" s="32">
        <v>101941.7</v>
      </c>
      <c r="J10" s="32">
        <f t="shared" si="0"/>
        <v>81553.36</v>
      </c>
    </row>
    <row r="11" spans="1:10" x14ac:dyDescent="0.2">
      <c r="A11" s="9">
        <v>6</v>
      </c>
      <c r="B11" s="128">
        <v>6232094</v>
      </c>
      <c r="C11" s="128"/>
      <c r="D11" s="128">
        <v>6232086</v>
      </c>
      <c r="E11" s="128"/>
      <c r="F11" s="12">
        <v>44655</v>
      </c>
      <c r="G11" s="169" t="s">
        <v>1528</v>
      </c>
      <c r="H11" s="169"/>
      <c r="I11" s="32">
        <v>599898.64</v>
      </c>
      <c r="J11" s="32">
        <f t="shared" si="0"/>
        <v>479918.91200000001</v>
      </c>
    </row>
    <row r="12" spans="1:10" x14ac:dyDescent="0.2">
      <c r="A12" s="9">
        <v>7</v>
      </c>
      <c r="B12" s="128">
        <v>6230210</v>
      </c>
      <c r="C12" s="128"/>
      <c r="D12" s="128">
        <v>6230229</v>
      </c>
      <c r="E12" s="128"/>
      <c r="F12" s="12">
        <v>44655</v>
      </c>
      <c r="G12" s="169" t="s">
        <v>1529</v>
      </c>
      <c r="H12" s="169"/>
      <c r="I12" s="32">
        <v>377142.26</v>
      </c>
      <c r="J12" s="32">
        <f t="shared" si="0"/>
        <v>301713.80800000002</v>
      </c>
    </row>
    <row r="13" spans="1:10" x14ac:dyDescent="0.2">
      <c r="A13" s="9">
        <v>8</v>
      </c>
      <c r="B13" s="128">
        <v>6235255</v>
      </c>
      <c r="C13" s="128"/>
      <c r="D13" s="128">
        <v>6235263</v>
      </c>
      <c r="E13" s="128"/>
      <c r="F13" s="12">
        <v>44671</v>
      </c>
      <c r="G13" s="169" t="s">
        <v>1537</v>
      </c>
      <c r="H13" s="169"/>
      <c r="I13" s="32">
        <v>500474.15</v>
      </c>
      <c r="J13" s="32">
        <f t="shared" si="0"/>
        <v>400379.32000000007</v>
      </c>
    </row>
    <row r="14" spans="1:10" x14ac:dyDescent="0.2">
      <c r="A14" s="9">
        <v>9</v>
      </c>
      <c r="B14" s="128">
        <v>6238319</v>
      </c>
      <c r="C14" s="128"/>
      <c r="D14" s="128">
        <v>6238320</v>
      </c>
      <c r="E14" s="128"/>
      <c r="F14" s="12">
        <v>44671</v>
      </c>
      <c r="G14" s="169" t="s">
        <v>1538</v>
      </c>
      <c r="H14" s="169"/>
      <c r="I14" s="32">
        <v>159921.9</v>
      </c>
      <c r="J14" s="32">
        <f t="shared" si="0"/>
        <v>127937.52</v>
      </c>
    </row>
    <row r="15" spans="1:10" x14ac:dyDescent="0.2">
      <c r="A15" s="9">
        <v>10</v>
      </c>
      <c r="B15" s="128">
        <v>6235433</v>
      </c>
      <c r="C15" s="128"/>
      <c r="D15" s="128">
        <v>6235441</v>
      </c>
      <c r="E15" s="128"/>
      <c r="F15" s="12">
        <v>44903</v>
      </c>
      <c r="G15" s="169" t="s">
        <v>1603</v>
      </c>
      <c r="H15" s="169"/>
      <c r="I15" s="32">
        <v>483141.63</v>
      </c>
      <c r="J15" s="32">
        <f t="shared" si="0"/>
        <v>386513.304</v>
      </c>
    </row>
    <row r="16" spans="1:10" x14ac:dyDescent="0.2">
      <c r="A16" s="9"/>
      <c r="B16" s="128"/>
      <c r="C16" s="128"/>
      <c r="D16" s="128"/>
      <c r="E16" s="128"/>
      <c r="F16" s="12"/>
      <c r="G16" s="169"/>
      <c r="H16" s="169"/>
      <c r="I16" s="32"/>
      <c r="J16" s="32"/>
    </row>
    <row r="17" spans="1:10" x14ac:dyDescent="0.2">
      <c r="A17" s="9"/>
      <c r="B17" s="128"/>
      <c r="C17" s="128"/>
      <c r="D17" s="128"/>
      <c r="E17" s="128"/>
      <c r="F17" s="12"/>
      <c r="G17" s="169"/>
      <c r="H17" s="169"/>
      <c r="I17" s="32"/>
      <c r="J17" s="32"/>
    </row>
    <row r="18" spans="1:10" x14ac:dyDescent="0.2">
      <c r="A18" s="13"/>
      <c r="B18" s="13"/>
      <c r="C18" s="13"/>
      <c r="D18" s="13"/>
      <c r="E18" s="13"/>
      <c r="F18" s="13"/>
      <c r="G18" s="13"/>
      <c r="H18" s="13" t="s">
        <v>33</v>
      </c>
      <c r="I18" s="33">
        <f>SUM(I6:I17)</f>
        <v>3093846.9699999997</v>
      </c>
      <c r="J18" s="33">
        <f>SUM(J6:J17)</f>
        <v>2475077.5760000004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31" t="s">
        <v>34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x14ac:dyDescent="0.2">
      <c r="A21" s="169" t="s">
        <v>23</v>
      </c>
      <c r="B21" s="169" t="s">
        <v>35</v>
      </c>
      <c r="C21" s="169"/>
      <c r="D21" s="169" t="s">
        <v>36</v>
      </c>
      <c r="E21" s="169" t="s">
        <v>37</v>
      </c>
      <c r="F21" s="169"/>
      <c r="G21" s="169" t="s">
        <v>38</v>
      </c>
      <c r="H21" s="169"/>
      <c r="I21" s="169" t="s">
        <v>39</v>
      </c>
      <c r="J21" s="169"/>
    </row>
    <row r="22" spans="1:10" x14ac:dyDescent="0.2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x14ac:dyDescent="0.2">
      <c r="A23" s="19">
        <v>1</v>
      </c>
      <c r="B23" s="225">
        <v>426986</v>
      </c>
      <c r="C23" s="137"/>
      <c r="D23" s="19">
        <v>86758</v>
      </c>
      <c r="E23" s="303">
        <v>41330</v>
      </c>
      <c r="F23" s="228"/>
      <c r="G23" s="196" t="s">
        <v>947</v>
      </c>
      <c r="H23" s="137"/>
      <c r="I23" s="138">
        <v>77212.78</v>
      </c>
      <c r="J23" s="138"/>
    </row>
    <row r="24" spans="1:10" x14ac:dyDescent="0.2">
      <c r="A24" s="19"/>
      <c r="B24" s="137"/>
      <c r="C24" s="137"/>
      <c r="D24" s="19">
        <v>87270</v>
      </c>
      <c r="E24" s="137" t="s">
        <v>864</v>
      </c>
      <c r="F24" s="137"/>
      <c r="G24" s="137"/>
      <c r="H24" s="137"/>
      <c r="I24" s="138">
        <v>34232.6</v>
      </c>
      <c r="J24" s="138"/>
    </row>
    <row r="25" spans="1:10" x14ac:dyDescent="0.2">
      <c r="A25" s="58"/>
      <c r="B25" s="137"/>
      <c r="C25" s="137"/>
      <c r="D25" s="19">
        <v>90189</v>
      </c>
      <c r="E25" s="137" t="s">
        <v>939</v>
      </c>
      <c r="F25" s="137"/>
      <c r="G25" s="137"/>
      <c r="H25" s="137"/>
      <c r="I25" s="138">
        <v>4446.2</v>
      </c>
      <c r="J25" s="138"/>
    </row>
    <row r="26" spans="1:10" x14ac:dyDescent="0.2">
      <c r="A26" s="19"/>
      <c r="B26" s="137"/>
      <c r="C26" s="137"/>
      <c r="D26" s="19">
        <v>92742</v>
      </c>
      <c r="E26" s="137" t="s">
        <v>1009</v>
      </c>
      <c r="F26" s="137"/>
      <c r="G26" s="137"/>
      <c r="H26" s="137"/>
      <c r="I26" s="138">
        <v>6249.8</v>
      </c>
      <c r="J26" s="138"/>
    </row>
    <row r="27" spans="1:10" x14ac:dyDescent="0.2">
      <c r="A27" s="82"/>
      <c r="B27" s="198"/>
      <c r="C27" s="198"/>
      <c r="D27" s="82">
        <v>108884</v>
      </c>
      <c r="E27" s="198"/>
      <c r="F27" s="198"/>
      <c r="G27" s="198" t="s">
        <v>1298</v>
      </c>
      <c r="H27" s="198"/>
      <c r="I27" s="199">
        <v>142800</v>
      </c>
      <c r="J27" s="199"/>
    </row>
    <row r="28" spans="1:10" x14ac:dyDescent="0.2">
      <c r="A28" s="58"/>
      <c r="B28" s="151"/>
      <c r="C28" s="151"/>
      <c r="D28" s="58"/>
      <c r="E28" s="151"/>
      <c r="F28" s="151"/>
      <c r="G28" s="151"/>
      <c r="H28" s="151"/>
      <c r="I28" s="152"/>
      <c r="J28" s="152"/>
    </row>
    <row r="29" spans="1:10" x14ac:dyDescent="0.2">
      <c r="A29" s="9"/>
      <c r="B29" s="128"/>
      <c r="C29" s="128"/>
      <c r="D29" s="9"/>
      <c r="E29" s="128"/>
      <c r="F29" s="128"/>
      <c r="G29" s="128"/>
      <c r="H29" s="128"/>
      <c r="I29" s="136"/>
      <c r="J29" s="136"/>
    </row>
    <row r="30" spans="1:10" ht="13.5" thickBot="1" x14ac:dyDescent="0.25">
      <c r="A30" s="9"/>
      <c r="B30" s="128"/>
      <c r="C30" s="128"/>
      <c r="D30" s="9"/>
      <c r="E30" s="128"/>
      <c r="F30" s="128"/>
      <c r="G30" s="128"/>
      <c r="H30" s="128"/>
      <c r="I30" s="226"/>
      <c r="J30" s="22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0">
        <f>SUM(I23:J30)</f>
        <v>264941.38</v>
      </c>
      <c r="J31" s="140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49" t="s">
        <v>47</v>
      </c>
      <c r="J33" s="150"/>
    </row>
    <row r="34" spans="1:10" x14ac:dyDescent="0.2">
      <c r="A34" s="144" t="s">
        <v>48</v>
      </c>
      <c r="B34" s="144"/>
      <c r="C34" s="144"/>
      <c r="D34" s="144"/>
      <c r="E34" s="144"/>
      <c r="F34" s="144"/>
      <c r="G34" s="144"/>
      <c r="H34" s="144"/>
      <c r="I34" s="148">
        <f>I18*80%</f>
        <v>2475077.5759999999</v>
      </c>
      <c r="J34" s="148"/>
    </row>
    <row r="35" spans="1:10" x14ac:dyDescent="0.2">
      <c r="A35" s="134" t="s">
        <v>1197</v>
      </c>
      <c r="B35" s="134"/>
      <c r="C35" s="134"/>
      <c r="D35" s="134"/>
      <c r="E35" s="134"/>
      <c r="F35" s="134"/>
      <c r="G35" s="134"/>
      <c r="H35" s="134"/>
      <c r="I35" s="135">
        <v>-49843.8</v>
      </c>
      <c r="J35" s="135"/>
    </row>
    <row r="36" spans="1:10" x14ac:dyDescent="0.2">
      <c r="A36" s="134" t="s">
        <v>1239</v>
      </c>
      <c r="B36" s="134"/>
      <c r="C36" s="134"/>
      <c r="D36" s="134"/>
      <c r="E36" s="134"/>
      <c r="F36" s="134"/>
      <c r="G36" s="134"/>
      <c r="H36" s="134"/>
      <c r="I36" s="135">
        <v>-65290.2</v>
      </c>
      <c r="J36" s="135"/>
    </row>
    <row r="37" spans="1:10" x14ac:dyDescent="0.2">
      <c r="A37" s="144"/>
      <c r="B37" s="144"/>
      <c r="C37" s="144"/>
      <c r="D37" s="144"/>
      <c r="E37" s="144"/>
      <c r="F37" s="144"/>
      <c r="G37" s="144"/>
      <c r="H37" s="144"/>
      <c r="I37" s="184"/>
      <c r="J37" s="184"/>
    </row>
    <row r="38" spans="1:10" ht="13.5" thickBot="1" x14ac:dyDescent="0.25">
      <c r="A38" s="144" t="s">
        <v>50</v>
      </c>
      <c r="B38" s="144"/>
      <c r="C38" s="144"/>
      <c r="D38" s="144"/>
      <c r="E38" s="144"/>
      <c r="F38" s="144"/>
      <c r="G38" s="144"/>
      <c r="H38" s="144"/>
      <c r="I38" s="145">
        <f>I31</f>
        <v>264941.38</v>
      </c>
      <c r="J38" s="145"/>
    </row>
    <row r="39" spans="1:10" ht="13.5" thickTop="1" x14ac:dyDescent="0.2">
      <c r="H39" s="18" t="s">
        <v>33</v>
      </c>
      <c r="I39" s="129">
        <f>I34+I35+I36-I38</f>
        <v>2095002.196</v>
      </c>
      <c r="J39" s="130"/>
    </row>
    <row r="41" spans="1:10" ht="15" x14ac:dyDescent="0.25">
      <c r="A41" s="131" t="s">
        <v>51</v>
      </c>
      <c r="B41" s="132"/>
      <c r="C41" s="132"/>
      <c r="D41" s="132"/>
      <c r="E41" s="132"/>
      <c r="F41" s="132"/>
      <c r="G41" s="132"/>
      <c r="H41" s="132"/>
      <c r="I41" s="132"/>
      <c r="J41" s="133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</sheetData>
  <mergeCells count="99">
    <mergeCell ref="A42:J47"/>
    <mergeCell ref="I4:I5"/>
    <mergeCell ref="J4:J5"/>
    <mergeCell ref="A35:H35"/>
    <mergeCell ref="I35:J35"/>
    <mergeCell ref="A38:H38"/>
    <mergeCell ref="I34:J34"/>
    <mergeCell ref="B30:C30"/>
    <mergeCell ref="E30:F30"/>
    <mergeCell ref="I39:J39"/>
    <mergeCell ref="I38:J38"/>
    <mergeCell ref="A37:H37"/>
    <mergeCell ref="I37:J37"/>
    <mergeCell ref="A36:H36"/>
    <mergeCell ref="B29:C29"/>
    <mergeCell ref="I33:J33"/>
    <mergeCell ref="A34:H34"/>
    <mergeCell ref="I31:J31"/>
    <mergeCell ref="I30:J30"/>
    <mergeCell ref="A41:J41"/>
    <mergeCell ref="B25:C25"/>
    <mergeCell ref="E25:F25"/>
    <mergeCell ref="G25:H25"/>
    <mergeCell ref="I25:J25"/>
    <mergeCell ref="G30:H30"/>
    <mergeCell ref="B26:C26"/>
    <mergeCell ref="E26:F26"/>
    <mergeCell ref="G26:H26"/>
    <mergeCell ref="I26:J26"/>
    <mergeCell ref="G28:H28"/>
    <mergeCell ref="I28:J28"/>
    <mergeCell ref="E29:F29"/>
    <mergeCell ref="G29:H29"/>
    <mergeCell ref="I29:J29"/>
    <mergeCell ref="B23:C23"/>
    <mergeCell ref="G23:H23"/>
    <mergeCell ref="I23:J23"/>
    <mergeCell ref="B24:C24"/>
    <mergeCell ref="E24:F24"/>
    <mergeCell ref="G24:H24"/>
    <mergeCell ref="I24:J24"/>
    <mergeCell ref="E23:F23"/>
    <mergeCell ref="A20:J20"/>
    <mergeCell ref="A21:A22"/>
    <mergeCell ref="B21:C22"/>
    <mergeCell ref="D21:D22"/>
    <mergeCell ref="E21:F22"/>
    <mergeCell ref="G21:H22"/>
    <mergeCell ref="I21:J22"/>
    <mergeCell ref="B17:C17"/>
    <mergeCell ref="D17:E17"/>
    <mergeCell ref="G17:H17"/>
    <mergeCell ref="B16:C16"/>
    <mergeCell ref="D16:E16"/>
    <mergeCell ref="G16:H16"/>
    <mergeCell ref="B12:C12"/>
    <mergeCell ref="D12:E12"/>
    <mergeCell ref="G12:H12"/>
    <mergeCell ref="B10:C10"/>
    <mergeCell ref="D10:E10"/>
    <mergeCell ref="G10:H10"/>
    <mergeCell ref="B11:C11"/>
    <mergeCell ref="D11:E11"/>
    <mergeCell ref="G11:H11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I36:J36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B27:C27"/>
    <mergeCell ref="E27:F27"/>
    <mergeCell ref="G27:H27"/>
    <mergeCell ref="I27:J27"/>
    <mergeCell ref="B28:C28"/>
    <mergeCell ref="E28:F28"/>
    <mergeCell ref="B15:C15"/>
    <mergeCell ref="D15:E15"/>
    <mergeCell ref="G15:H15"/>
    <mergeCell ref="B13:C13"/>
    <mergeCell ref="D13:E13"/>
    <mergeCell ref="G13:H13"/>
    <mergeCell ref="B14:C14"/>
    <mergeCell ref="D14:E14"/>
    <mergeCell ref="G14:H14"/>
  </mergeCells>
  <phoneticPr fontId="6" type="noConversion"/>
  <pageMargins left="0.75" right="0.75" top="1" bottom="1" header="0.5" footer="0.5"/>
  <pageSetup scale="86" orientation="portrait" verticalDpi="1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3"/>
  <dimension ref="A1:J44"/>
  <sheetViews>
    <sheetView topLeftCell="A13" workbookViewId="0">
      <selection activeCell="I35" sqref="I35:J35"/>
    </sheetView>
  </sheetViews>
  <sheetFormatPr defaultRowHeight="12.75" x14ac:dyDescent="0.2"/>
  <cols>
    <col min="6" max="6" width="12.5703125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569</v>
      </c>
      <c r="B2" s="6"/>
      <c r="C2" s="6"/>
      <c r="D2" s="6"/>
      <c r="E2" s="6"/>
      <c r="F2" s="6"/>
      <c r="G2" s="6"/>
      <c r="H2" s="6"/>
      <c r="I2" s="6"/>
      <c r="J2" s="7" t="s">
        <v>21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173"/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0" x14ac:dyDescent="0.2">
      <c r="A6" s="9">
        <v>1</v>
      </c>
      <c r="B6" s="128">
        <v>6333648</v>
      </c>
      <c r="C6" s="128"/>
      <c r="D6" s="128">
        <v>6333710</v>
      </c>
      <c r="E6" s="128"/>
      <c r="F6" s="12">
        <v>34836</v>
      </c>
      <c r="G6" s="169" t="s">
        <v>570</v>
      </c>
      <c r="H6" s="169"/>
      <c r="I6" s="280">
        <v>79824.100000000006</v>
      </c>
      <c r="J6" s="281"/>
    </row>
    <row r="7" spans="1:10" x14ac:dyDescent="0.2">
      <c r="A7" s="9">
        <v>2</v>
      </c>
      <c r="B7" s="128">
        <v>6333152</v>
      </c>
      <c r="C7" s="128"/>
      <c r="D7" s="128">
        <v>6333443</v>
      </c>
      <c r="E7" s="128"/>
      <c r="F7" s="12">
        <v>34836</v>
      </c>
      <c r="G7" s="169" t="s">
        <v>571</v>
      </c>
      <c r="H7" s="169"/>
      <c r="I7" s="280">
        <v>61293.9</v>
      </c>
      <c r="J7" s="281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280"/>
      <c r="J8" s="281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280"/>
      <c r="J9" s="281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280"/>
      <c r="J10" s="281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280"/>
      <c r="J11" s="281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280"/>
      <c r="J12" s="281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282"/>
      <c r="J13" s="283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284">
        <f>SUM(I6:J13)</f>
        <v>141118</v>
      </c>
      <c r="J14" s="284"/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 t="s">
        <v>316</v>
      </c>
      <c r="C19" s="128"/>
      <c r="D19" s="9">
        <v>14241</v>
      </c>
      <c r="E19" s="182">
        <v>36342</v>
      </c>
      <c r="F19" s="128"/>
      <c r="G19" s="183" t="s">
        <v>572</v>
      </c>
      <c r="H19" s="128"/>
      <c r="I19" s="136">
        <v>72887</v>
      </c>
      <c r="J19" s="136"/>
    </row>
    <row r="20" spans="1:10" x14ac:dyDescent="0.2">
      <c r="A20" s="9">
        <v>2</v>
      </c>
      <c r="B20" s="183" t="s">
        <v>573</v>
      </c>
      <c r="C20" s="128"/>
      <c r="D20" s="9">
        <v>14243</v>
      </c>
      <c r="E20" s="182">
        <v>35855</v>
      </c>
      <c r="F20" s="128"/>
      <c r="G20" s="183" t="s">
        <v>574</v>
      </c>
      <c r="H20" s="128"/>
      <c r="I20" s="136">
        <f>61929-8144.6</f>
        <v>53784.4</v>
      </c>
      <c r="J20" s="136"/>
    </row>
    <row r="21" spans="1:10" x14ac:dyDescent="0.2">
      <c r="A21" s="9">
        <v>3</v>
      </c>
      <c r="B21" s="183" t="s">
        <v>575</v>
      </c>
      <c r="C21" s="128"/>
      <c r="D21" s="9">
        <v>12213</v>
      </c>
      <c r="E21" s="182">
        <v>35545</v>
      </c>
      <c r="F21" s="128"/>
      <c r="G21" s="128" t="s">
        <v>576</v>
      </c>
      <c r="H21" s="128"/>
      <c r="I21" s="136">
        <v>0</v>
      </c>
      <c r="J21" s="136"/>
    </row>
    <row r="22" spans="1:10" x14ac:dyDescent="0.2">
      <c r="A22" s="9">
        <v>4</v>
      </c>
      <c r="B22" s="183" t="s">
        <v>577</v>
      </c>
      <c r="C22" s="128"/>
      <c r="D22" s="9">
        <v>16501</v>
      </c>
      <c r="E22" s="182">
        <v>36678</v>
      </c>
      <c r="F22" s="128"/>
      <c r="G22" s="183" t="s">
        <v>578</v>
      </c>
      <c r="H22" s="128"/>
      <c r="I22" s="136">
        <v>0</v>
      </c>
      <c r="J22" s="136"/>
    </row>
    <row r="23" spans="1:10" x14ac:dyDescent="0.2">
      <c r="A23" s="9">
        <v>7</v>
      </c>
      <c r="B23" s="128"/>
      <c r="C23" s="128"/>
      <c r="D23" s="9">
        <v>82334</v>
      </c>
      <c r="E23" s="182">
        <v>40920</v>
      </c>
      <c r="F23" s="128"/>
      <c r="G23" s="128" t="s">
        <v>809</v>
      </c>
      <c r="H23" s="128"/>
      <c r="I23" s="136">
        <v>71346.94</v>
      </c>
      <c r="J23" s="136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136"/>
      <c r="J24" s="136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198018.34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112894.40000000001</v>
      </c>
      <c r="J31" s="148"/>
    </row>
    <row r="32" spans="1:10" x14ac:dyDescent="0.2">
      <c r="A32" s="144" t="s">
        <v>579</v>
      </c>
      <c r="B32" s="144"/>
      <c r="C32" s="144"/>
      <c r="D32" s="144"/>
      <c r="E32" s="144"/>
      <c r="F32" s="144"/>
      <c r="G32" s="144"/>
      <c r="H32" s="144"/>
      <c r="I32" s="184">
        <v>13777</v>
      </c>
      <c r="J32" s="184"/>
    </row>
    <row r="33" spans="1:10" x14ac:dyDescent="0.2">
      <c r="A33" s="185" t="s">
        <v>579</v>
      </c>
      <c r="B33" s="142"/>
      <c r="C33" s="142"/>
      <c r="D33" s="142"/>
      <c r="E33" s="142"/>
      <c r="F33" s="142"/>
      <c r="G33" s="142"/>
      <c r="H33" s="143"/>
      <c r="I33" s="285">
        <v>120600</v>
      </c>
      <c r="J33" s="286"/>
    </row>
    <row r="34" spans="1:10" x14ac:dyDescent="0.2">
      <c r="A34" s="141" t="s">
        <v>985</v>
      </c>
      <c r="B34" s="142"/>
      <c r="C34" s="142"/>
      <c r="D34" s="142"/>
      <c r="E34" s="142"/>
      <c r="F34" s="142"/>
      <c r="G34" s="142"/>
      <c r="H34" s="143"/>
      <c r="I34" s="146">
        <v>-49253.06</v>
      </c>
      <c r="J34" s="147"/>
    </row>
    <row r="35" spans="1:10" ht="13.5" thickBot="1" x14ac:dyDescent="0.25">
      <c r="A35" s="144" t="s">
        <v>50</v>
      </c>
      <c r="B35" s="144"/>
      <c r="C35" s="144"/>
      <c r="D35" s="144"/>
      <c r="E35" s="144"/>
      <c r="F35" s="144"/>
      <c r="G35" s="144"/>
      <c r="H35" s="144"/>
      <c r="I35" s="145">
        <f>I28</f>
        <v>198018.34</v>
      </c>
      <c r="J35" s="145"/>
    </row>
    <row r="36" spans="1:10" ht="13.5" thickTop="1" x14ac:dyDescent="0.2">
      <c r="H36" s="18" t="s">
        <v>33</v>
      </c>
      <c r="I36" s="129">
        <f>I31+I32+I33+I34-I35</f>
        <v>0</v>
      </c>
      <c r="J36" s="130"/>
    </row>
    <row r="38" spans="1:10" ht="15" x14ac:dyDescent="0.25">
      <c r="A38" s="131" t="s">
        <v>51</v>
      </c>
      <c r="B38" s="132"/>
      <c r="C38" s="132"/>
      <c r="D38" s="132"/>
      <c r="E38" s="132"/>
      <c r="F38" s="132"/>
      <c r="G38" s="132"/>
      <c r="H38" s="132"/>
      <c r="I38" s="132"/>
      <c r="J38" s="133"/>
    </row>
    <row r="39" spans="1:10" x14ac:dyDescent="0.2">
      <c r="A39" s="139" t="s">
        <v>5</v>
      </c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</sheetData>
  <mergeCells count="99">
    <mergeCell ref="A3:J3"/>
    <mergeCell ref="A4:A5"/>
    <mergeCell ref="B4:E4"/>
    <mergeCell ref="F4:F5"/>
    <mergeCell ref="G4:H5"/>
    <mergeCell ref="I4:J5"/>
    <mergeCell ref="B5:C5"/>
    <mergeCell ref="D5:E5"/>
    <mergeCell ref="B7:C7"/>
    <mergeCell ref="D7:E7"/>
    <mergeCell ref="G7:H7"/>
    <mergeCell ref="I7:J7"/>
    <mergeCell ref="B6:C6"/>
    <mergeCell ref="D6:E6"/>
    <mergeCell ref="G6:H6"/>
    <mergeCell ref="I6:J6"/>
    <mergeCell ref="B9:C9"/>
    <mergeCell ref="D9:E9"/>
    <mergeCell ref="G9:H9"/>
    <mergeCell ref="I9:J9"/>
    <mergeCell ref="B8:C8"/>
    <mergeCell ref="D8:E8"/>
    <mergeCell ref="G8:H8"/>
    <mergeCell ref="I8:J8"/>
    <mergeCell ref="B11:C11"/>
    <mergeCell ref="D11:E11"/>
    <mergeCell ref="G11:H11"/>
    <mergeCell ref="I11:J11"/>
    <mergeCell ref="B10:C10"/>
    <mergeCell ref="D10:E10"/>
    <mergeCell ref="G10:H10"/>
    <mergeCell ref="I10:J10"/>
    <mergeCell ref="B13:C13"/>
    <mergeCell ref="D13:E13"/>
    <mergeCell ref="G13:H13"/>
    <mergeCell ref="I13:J13"/>
    <mergeCell ref="B12:C12"/>
    <mergeCell ref="D12:E12"/>
    <mergeCell ref="G12:H12"/>
    <mergeCell ref="I12:J12"/>
    <mergeCell ref="B19:C19"/>
    <mergeCell ref="E19:F19"/>
    <mergeCell ref="G19:H19"/>
    <mergeCell ref="I19:J19"/>
    <mergeCell ref="I14:J14"/>
    <mergeCell ref="A16:J16"/>
    <mergeCell ref="A17:A18"/>
    <mergeCell ref="B17:C18"/>
    <mergeCell ref="D17:D18"/>
    <mergeCell ref="E17:F18"/>
    <mergeCell ref="G17:H18"/>
    <mergeCell ref="I17:J18"/>
    <mergeCell ref="B21:C21"/>
    <mergeCell ref="E21:F21"/>
    <mergeCell ref="G21:H21"/>
    <mergeCell ref="I21:J21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I36:J36"/>
    <mergeCell ref="I30:J30"/>
    <mergeCell ref="A31:H31"/>
    <mergeCell ref="I31:J31"/>
    <mergeCell ref="I28:J28"/>
    <mergeCell ref="B27:C27"/>
    <mergeCell ref="E27:F27"/>
    <mergeCell ref="G27:H27"/>
    <mergeCell ref="I27:J27"/>
    <mergeCell ref="A38:J38"/>
    <mergeCell ref="A39:J44"/>
    <mergeCell ref="A32:H32"/>
    <mergeCell ref="I32:J32"/>
    <mergeCell ref="A35:H35"/>
    <mergeCell ref="I35:J35"/>
    <mergeCell ref="A33:H33"/>
    <mergeCell ref="I33:J33"/>
    <mergeCell ref="A34:H34"/>
    <mergeCell ref="I34:J34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4">
    <pageSetUpPr fitToPage="1"/>
  </sheetPr>
  <dimension ref="A1:K52"/>
  <sheetViews>
    <sheetView topLeftCell="A28" workbookViewId="0">
      <selection activeCell="I44" sqref="I44:J44"/>
    </sheetView>
  </sheetViews>
  <sheetFormatPr defaultRowHeight="12.75" x14ac:dyDescent="0.2"/>
  <cols>
    <col min="6" max="6" width="13.42578125" customWidth="1"/>
    <col min="8" max="8" width="13.28515625" customWidth="1"/>
    <col min="9" max="9" width="11.140625" bestFit="1" customWidth="1"/>
    <col min="10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580</v>
      </c>
      <c r="B2" s="6"/>
      <c r="C2" s="6"/>
      <c r="D2" s="6"/>
      <c r="E2" s="6"/>
      <c r="F2" s="6"/>
      <c r="G2" s="6"/>
      <c r="H2" s="6"/>
      <c r="I2" s="6"/>
      <c r="J2" s="7" t="s">
        <v>236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173" t="s">
        <v>834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1" x14ac:dyDescent="0.2">
      <c r="A6" s="9">
        <v>1</v>
      </c>
      <c r="B6" s="128">
        <v>6430376</v>
      </c>
      <c r="C6" s="128"/>
      <c r="D6" s="128"/>
      <c r="E6" s="128"/>
      <c r="F6" s="12">
        <v>35388</v>
      </c>
      <c r="G6" s="169" t="s">
        <v>581</v>
      </c>
      <c r="H6" s="179"/>
      <c r="I6" s="32">
        <v>14600</v>
      </c>
      <c r="J6" s="32">
        <f>I6*0.8</f>
        <v>11680</v>
      </c>
    </row>
    <row r="7" spans="1:11" x14ac:dyDescent="0.2">
      <c r="A7" s="9">
        <v>2</v>
      </c>
      <c r="B7" s="128">
        <v>6430503</v>
      </c>
      <c r="C7" s="128"/>
      <c r="D7" s="128">
        <v>6430562</v>
      </c>
      <c r="E7" s="128"/>
      <c r="F7" s="12">
        <v>35388</v>
      </c>
      <c r="G7" s="169" t="s">
        <v>582</v>
      </c>
      <c r="H7" s="179"/>
      <c r="I7" s="32">
        <v>59360</v>
      </c>
      <c r="J7" s="32">
        <f>I7*0.8</f>
        <v>47488</v>
      </c>
    </row>
    <row r="8" spans="1:11" x14ac:dyDescent="0.2">
      <c r="A8" s="9">
        <v>3</v>
      </c>
      <c r="B8" s="128">
        <v>6431364</v>
      </c>
      <c r="C8" s="128"/>
      <c r="D8" s="128">
        <v>6431356</v>
      </c>
      <c r="E8" s="128"/>
      <c r="F8" s="12">
        <v>35388</v>
      </c>
      <c r="G8" s="169" t="s">
        <v>583</v>
      </c>
      <c r="H8" s="179"/>
      <c r="I8" s="32">
        <v>73370</v>
      </c>
      <c r="J8" s="32">
        <f>I8*0.8</f>
        <v>58696</v>
      </c>
      <c r="K8" s="107"/>
    </row>
    <row r="9" spans="1:11" x14ac:dyDescent="0.2">
      <c r="A9" s="9">
        <v>4</v>
      </c>
      <c r="B9" s="128">
        <v>6432255</v>
      </c>
      <c r="C9" s="128"/>
      <c r="D9" s="128"/>
      <c r="E9" s="128"/>
      <c r="F9" s="12"/>
      <c r="G9" s="169" t="s">
        <v>584</v>
      </c>
      <c r="H9" s="179"/>
      <c r="I9" s="44"/>
      <c r="J9" s="32"/>
    </row>
    <row r="10" spans="1:11" x14ac:dyDescent="0.2">
      <c r="A10" s="9">
        <v>5</v>
      </c>
      <c r="B10" s="128">
        <v>6434185</v>
      </c>
      <c r="C10" s="128"/>
      <c r="D10" s="128">
        <v>6434347</v>
      </c>
      <c r="E10" s="128"/>
      <c r="F10" s="12">
        <v>40168</v>
      </c>
      <c r="G10" s="169"/>
      <c r="H10" s="179"/>
      <c r="I10" s="44">
        <v>375872</v>
      </c>
      <c r="J10" s="32">
        <f>I10*0.8</f>
        <v>300697.60000000003</v>
      </c>
    </row>
    <row r="11" spans="1:11" x14ac:dyDescent="0.2">
      <c r="A11" s="9">
        <v>6</v>
      </c>
      <c r="B11" s="128">
        <v>6435459</v>
      </c>
      <c r="C11" s="128"/>
      <c r="D11" s="128">
        <v>6435467</v>
      </c>
      <c r="E11" s="128"/>
      <c r="F11" s="12">
        <v>41827</v>
      </c>
      <c r="G11" s="169"/>
      <c r="H11" s="179"/>
      <c r="I11" s="44">
        <v>261905</v>
      </c>
      <c r="J11" s="32">
        <f>I11*0.8</f>
        <v>209524</v>
      </c>
    </row>
    <row r="12" spans="1:11" x14ac:dyDescent="0.2">
      <c r="A12" s="9">
        <v>7</v>
      </c>
      <c r="B12" s="128">
        <v>6432255</v>
      </c>
      <c r="C12" s="128"/>
      <c r="D12" s="137" t="s">
        <v>1182</v>
      </c>
      <c r="E12" s="128"/>
      <c r="F12" s="12">
        <v>43452</v>
      </c>
      <c r="G12" s="169"/>
      <c r="H12" s="179"/>
      <c r="I12" s="44">
        <v>323856.78999999998</v>
      </c>
      <c r="J12" s="32">
        <f>I12*0.8</f>
        <v>259085.432</v>
      </c>
    </row>
    <row r="13" spans="1:11" x14ac:dyDescent="0.2">
      <c r="A13" s="9">
        <v>8</v>
      </c>
      <c r="B13" s="128">
        <v>6432425</v>
      </c>
      <c r="C13" s="128"/>
      <c r="D13" s="128">
        <v>6432433</v>
      </c>
      <c r="E13" s="128"/>
      <c r="F13" s="12">
        <v>44812</v>
      </c>
      <c r="G13" s="169" t="s">
        <v>1579</v>
      </c>
      <c r="H13" s="179"/>
      <c r="I13" s="44">
        <v>342700</v>
      </c>
      <c r="J13" s="32">
        <f>I13*0.8</f>
        <v>274160</v>
      </c>
    </row>
    <row r="14" spans="1:11" x14ac:dyDescent="0.2">
      <c r="A14" s="9"/>
      <c r="B14" s="128"/>
      <c r="C14" s="128"/>
      <c r="D14" s="128"/>
      <c r="E14" s="128"/>
      <c r="F14" s="12"/>
      <c r="G14" s="169"/>
      <c r="H14" s="179"/>
      <c r="I14" s="44"/>
      <c r="J14" s="32"/>
    </row>
    <row r="15" spans="1:11" x14ac:dyDescent="0.2">
      <c r="A15" s="9"/>
      <c r="B15" s="128"/>
      <c r="C15" s="128"/>
      <c r="D15" s="128"/>
      <c r="E15" s="128"/>
      <c r="F15" s="12"/>
      <c r="G15" s="169"/>
      <c r="H15" s="179"/>
      <c r="I15" s="44"/>
      <c r="J15" s="32"/>
    </row>
    <row r="16" spans="1:11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44">
        <f>I6+I7+I8+I9+I10+I11+I14+I15</f>
        <v>785107</v>
      </c>
      <c r="J16" s="33">
        <f>SUM(J6:J15)</f>
        <v>1161331.0320000001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1" t="s">
        <v>34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x14ac:dyDescent="0.2">
      <c r="A19" s="169" t="s">
        <v>23</v>
      </c>
      <c r="B19" s="169" t="s">
        <v>35</v>
      </c>
      <c r="C19" s="169"/>
      <c r="D19" s="169" t="s">
        <v>36</v>
      </c>
      <c r="E19" s="169" t="s">
        <v>37</v>
      </c>
      <c r="F19" s="169"/>
      <c r="G19" s="169" t="s">
        <v>38</v>
      </c>
      <c r="H19" s="169"/>
      <c r="I19" s="169" t="s">
        <v>39</v>
      </c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9">
        <v>1</v>
      </c>
      <c r="B21" s="183" t="s">
        <v>585</v>
      </c>
      <c r="C21" s="128"/>
      <c r="D21" s="9">
        <v>5829</v>
      </c>
      <c r="E21" s="182">
        <v>36678</v>
      </c>
      <c r="F21" s="128"/>
      <c r="G21" s="128">
        <v>6401001</v>
      </c>
      <c r="H21" s="128"/>
      <c r="I21" s="136">
        <v>47789</v>
      </c>
      <c r="J21" s="136"/>
    </row>
    <row r="22" spans="1:10" x14ac:dyDescent="0.2">
      <c r="A22" s="9">
        <v>2</v>
      </c>
      <c r="B22" s="128">
        <v>457274</v>
      </c>
      <c r="C22" s="128"/>
      <c r="D22" s="9">
        <v>82237</v>
      </c>
      <c r="E22" s="182">
        <v>40751</v>
      </c>
      <c r="F22" s="128"/>
      <c r="G22" s="128" t="s">
        <v>880</v>
      </c>
      <c r="H22" s="128"/>
      <c r="I22" s="136">
        <v>52005.83</v>
      </c>
      <c r="J22" s="136"/>
    </row>
    <row r="23" spans="1:10" x14ac:dyDescent="0.2">
      <c r="A23" s="19">
        <v>3</v>
      </c>
      <c r="B23" s="137">
        <v>457061</v>
      </c>
      <c r="C23" s="137"/>
      <c r="D23" s="19">
        <v>80765</v>
      </c>
      <c r="E23" s="196">
        <v>41774</v>
      </c>
      <c r="F23" s="137"/>
      <c r="G23" s="137" t="s">
        <v>846</v>
      </c>
      <c r="H23" s="137"/>
      <c r="I23" s="138">
        <v>75941.52</v>
      </c>
      <c r="J23" s="138"/>
    </row>
    <row r="24" spans="1:10" x14ac:dyDescent="0.2">
      <c r="A24" s="19">
        <v>4</v>
      </c>
      <c r="B24" s="137"/>
      <c r="C24" s="137"/>
      <c r="D24" s="19">
        <v>23145</v>
      </c>
      <c r="E24" s="196">
        <v>43025</v>
      </c>
      <c r="F24" s="137"/>
      <c r="G24" s="137" t="s">
        <v>908</v>
      </c>
      <c r="H24" s="137"/>
      <c r="I24" s="138">
        <v>148816.34</v>
      </c>
      <c r="J24" s="138"/>
    </row>
    <row r="25" spans="1:10" x14ac:dyDescent="0.2">
      <c r="A25" s="19"/>
      <c r="B25" s="137"/>
      <c r="C25" s="137"/>
      <c r="D25" s="19">
        <v>87270</v>
      </c>
      <c r="E25" s="137" t="s">
        <v>864</v>
      </c>
      <c r="F25" s="137"/>
      <c r="G25" s="137"/>
      <c r="H25" s="137"/>
      <c r="I25" s="138">
        <v>4669</v>
      </c>
      <c r="J25" s="138"/>
    </row>
    <row r="26" spans="1:10" x14ac:dyDescent="0.2">
      <c r="A26" s="19"/>
      <c r="B26" s="137"/>
      <c r="C26" s="137"/>
      <c r="D26" s="19">
        <v>90189</v>
      </c>
      <c r="E26" s="137" t="s">
        <v>939</v>
      </c>
      <c r="F26" s="137"/>
      <c r="G26" s="137"/>
      <c r="H26" s="137"/>
      <c r="I26" s="138">
        <v>1782.2</v>
      </c>
      <c r="J26" s="138"/>
    </row>
    <row r="27" spans="1:10" x14ac:dyDescent="0.2">
      <c r="A27" s="19"/>
      <c r="B27" s="137"/>
      <c r="C27" s="137"/>
      <c r="D27" s="19">
        <v>92742</v>
      </c>
      <c r="E27" s="137" t="s">
        <v>1009</v>
      </c>
      <c r="F27" s="137"/>
      <c r="G27" s="137"/>
      <c r="H27" s="137"/>
      <c r="I27" s="138">
        <v>790</v>
      </c>
      <c r="J27" s="138"/>
    </row>
    <row r="28" spans="1:10" x14ac:dyDescent="0.2">
      <c r="A28" s="19"/>
      <c r="B28" s="137"/>
      <c r="C28" s="137"/>
      <c r="D28" s="19">
        <v>93896</v>
      </c>
      <c r="E28" s="137" t="s">
        <v>1027</v>
      </c>
      <c r="F28" s="137"/>
      <c r="G28" s="137"/>
      <c r="H28" s="137"/>
      <c r="I28" s="138">
        <v>1164</v>
      </c>
      <c r="J28" s="138"/>
    </row>
    <row r="29" spans="1:10" x14ac:dyDescent="0.2">
      <c r="A29" s="19">
        <v>5</v>
      </c>
      <c r="B29" s="137">
        <v>457738</v>
      </c>
      <c r="C29" s="137"/>
      <c r="D29" s="19">
        <v>92871</v>
      </c>
      <c r="E29" s="196">
        <v>42871</v>
      </c>
      <c r="F29" s="137"/>
      <c r="G29" s="137" t="s">
        <v>1116</v>
      </c>
      <c r="H29" s="137"/>
      <c r="I29" s="138">
        <v>66660</v>
      </c>
      <c r="J29" s="138"/>
    </row>
    <row r="30" spans="1:10" x14ac:dyDescent="0.2">
      <c r="A30" s="19">
        <v>6</v>
      </c>
      <c r="B30" s="137"/>
      <c r="C30" s="137"/>
      <c r="D30" s="19">
        <v>94414</v>
      </c>
      <c r="E30" s="196">
        <v>43025</v>
      </c>
      <c r="F30" s="137"/>
      <c r="G30" s="137" t="s">
        <v>1115</v>
      </c>
      <c r="H30" s="137"/>
      <c r="I30" s="138">
        <v>76941.649999999994</v>
      </c>
      <c r="J30" s="138"/>
    </row>
    <row r="31" spans="1:10" x14ac:dyDescent="0.2">
      <c r="A31" s="19">
        <v>7</v>
      </c>
      <c r="B31" s="137"/>
      <c r="C31" s="137"/>
      <c r="D31" s="19">
        <v>84878</v>
      </c>
      <c r="E31" s="137"/>
      <c r="F31" s="137"/>
      <c r="G31" s="137" t="s">
        <v>1117</v>
      </c>
      <c r="H31" s="137"/>
      <c r="I31" s="138">
        <v>176581.5</v>
      </c>
      <c r="J31" s="138"/>
    </row>
    <row r="32" spans="1:10" x14ac:dyDescent="0.2">
      <c r="A32" s="19">
        <v>8</v>
      </c>
      <c r="B32" s="137"/>
      <c r="C32" s="137"/>
      <c r="D32" s="19">
        <v>84877</v>
      </c>
      <c r="E32" s="196">
        <v>43543</v>
      </c>
      <c r="F32" s="137"/>
      <c r="G32" s="137" t="s">
        <v>1118</v>
      </c>
      <c r="H32" s="137"/>
      <c r="I32" s="138">
        <v>61371.11</v>
      </c>
      <c r="J32" s="138"/>
    </row>
    <row r="33" spans="1:10" x14ac:dyDescent="0.2">
      <c r="A33" s="26"/>
      <c r="B33" s="236"/>
      <c r="C33" s="236"/>
      <c r="D33" s="26">
        <v>108771</v>
      </c>
      <c r="E33" s="236"/>
      <c r="F33" s="236"/>
      <c r="G33" s="220" t="s">
        <v>1307</v>
      </c>
      <c r="H33" s="236"/>
      <c r="I33" s="247">
        <v>93900</v>
      </c>
      <c r="J33" s="247"/>
    </row>
    <row r="34" spans="1:10" x14ac:dyDescent="0.2">
      <c r="A34" s="26"/>
      <c r="B34" s="236"/>
      <c r="C34" s="236"/>
      <c r="D34" s="26"/>
      <c r="E34" s="236"/>
      <c r="F34" s="236"/>
      <c r="G34" s="236"/>
      <c r="H34" s="236"/>
      <c r="I34" s="247"/>
      <c r="J34" s="247"/>
    </row>
    <row r="35" spans="1:10" ht="13.5" thickBot="1" x14ac:dyDescent="0.25">
      <c r="A35" s="9"/>
      <c r="B35" s="128"/>
      <c r="C35" s="128"/>
      <c r="D35" s="9"/>
      <c r="E35" s="128"/>
      <c r="F35" s="128"/>
      <c r="G35" s="128"/>
      <c r="H35" s="128"/>
      <c r="I35" s="226"/>
      <c r="J35" s="226"/>
    </row>
    <row r="36" spans="1:10" ht="13.5" thickTop="1" x14ac:dyDescent="0.2">
      <c r="A36" s="13"/>
      <c r="B36" s="13"/>
      <c r="C36" s="13"/>
      <c r="D36" s="13"/>
      <c r="E36" s="13"/>
      <c r="F36" s="13"/>
      <c r="G36" s="13"/>
      <c r="H36" s="13" t="s">
        <v>33</v>
      </c>
      <c r="I36" s="140">
        <f>SUM(I21:J35)</f>
        <v>808412.15</v>
      </c>
      <c r="J36" s="140"/>
    </row>
    <row r="37" spans="1:1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149" t="s">
        <v>47</v>
      </c>
      <c r="J38" s="150"/>
    </row>
    <row r="39" spans="1:10" x14ac:dyDescent="0.2">
      <c r="A39" s="144" t="s">
        <v>48</v>
      </c>
      <c r="B39" s="144"/>
      <c r="C39" s="144"/>
      <c r="D39" s="144"/>
      <c r="E39" s="144"/>
      <c r="F39" s="144"/>
      <c r="G39" s="144"/>
      <c r="H39" s="144"/>
      <c r="I39" s="148">
        <f>J16</f>
        <v>1161331.0320000001</v>
      </c>
      <c r="J39" s="148"/>
    </row>
    <row r="40" spans="1:10" x14ac:dyDescent="0.2">
      <c r="A40" s="144" t="s">
        <v>49</v>
      </c>
      <c r="B40" s="144"/>
      <c r="C40" s="144"/>
      <c r="D40" s="144"/>
      <c r="E40" s="144"/>
      <c r="F40" s="144"/>
      <c r="G40" s="144"/>
      <c r="H40" s="144"/>
      <c r="I40" s="184">
        <f>-46784-23291</f>
        <v>-70075</v>
      </c>
      <c r="J40" s="184"/>
    </row>
    <row r="41" spans="1:10" x14ac:dyDescent="0.2">
      <c r="A41" s="231" t="s">
        <v>1283</v>
      </c>
      <c r="B41" s="144"/>
      <c r="C41" s="144"/>
      <c r="D41" s="144"/>
      <c r="E41" s="144"/>
      <c r="F41" s="144"/>
      <c r="G41" s="144"/>
      <c r="H41" s="144"/>
      <c r="I41" s="184">
        <v>200000</v>
      </c>
      <c r="J41" s="184"/>
    </row>
    <row r="42" spans="1:10" x14ac:dyDescent="0.2">
      <c r="A42" s="144" t="s">
        <v>1581</v>
      </c>
      <c r="B42" s="144"/>
      <c r="C42" s="144"/>
      <c r="D42" s="144"/>
      <c r="E42" s="144"/>
      <c r="F42" s="144"/>
      <c r="G42" s="144"/>
      <c r="H42" s="144"/>
      <c r="I42" s="184">
        <v>-200000</v>
      </c>
      <c r="J42" s="184"/>
    </row>
    <row r="43" spans="1:10" ht="13.5" thickBot="1" x14ac:dyDescent="0.25">
      <c r="A43" s="144" t="s">
        <v>50</v>
      </c>
      <c r="B43" s="144"/>
      <c r="C43" s="144"/>
      <c r="D43" s="144"/>
      <c r="E43" s="144"/>
      <c r="F43" s="144"/>
      <c r="G43" s="144"/>
      <c r="H43" s="144"/>
      <c r="I43" s="145">
        <f>I36</f>
        <v>808412.15</v>
      </c>
      <c r="J43" s="145"/>
    </row>
    <row r="44" spans="1:10" ht="13.5" thickTop="1" x14ac:dyDescent="0.2">
      <c r="H44" s="18" t="s">
        <v>33</v>
      </c>
      <c r="I44" s="129">
        <f>I39+I40+I41+I42-I43</f>
        <v>282843.8820000001</v>
      </c>
      <c r="J44" s="130"/>
    </row>
    <row r="46" spans="1:10" ht="15" x14ac:dyDescent="0.25">
      <c r="A46" s="131" t="s">
        <v>51</v>
      </c>
      <c r="B46" s="132"/>
      <c r="C46" s="132"/>
      <c r="D46" s="132"/>
      <c r="E46" s="132"/>
      <c r="F46" s="132"/>
      <c r="G46" s="132"/>
      <c r="H46" s="132"/>
      <c r="I46" s="132"/>
      <c r="J46" s="133"/>
    </row>
    <row r="47" spans="1:10" x14ac:dyDescent="0.2">
      <c r="A47" s="139" t="s">
        <v>586</v>
      </c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  <row r="49" spans="1:10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</sheetData>
  <mergeCells count="121"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11:C11"/>
    <mergeCell ref="D11:E11"/>
    <mergeCell ref="G11:H11"/>
    <mergeCell ref="B10:C10"/>
    <mergeCell ref="D10:E10"/>
    <mergeCell ref="G10:H10"/>
    <mergeCell ref="B15:C15"/>
    <mergeCell ref="D15:E15"/>
    <mergeCell ref="G15:H15"/>
    <mergeCell ref="B14:C14"/>
    <mergeCell ref="D14:E14"/>
    <mergeCell ref="G14:H14"/>
    <mergeCell ref="B12:C12"/>
    <mergeCell ref="D12:E12"/>
    <mergeCell ref="G12:H12"/>
    <mergeCell ref="B13:C13"/>
    <mergeCell ref="D13:E13"/>
    <mergeCell ref="G13:H13"/>
    <mergeCell ref="B29:C29"/>
    <mergeCell ref="E29:F29"/>
    <mergeCell ref="G29:H29"/>
    <mergeCell ref="I29:J29"/>
    <mergeCell ref="I32:J32"/>
    <mergeCell ref="A18:J18"/>
    <mergeCell ref="A19:A20"/>
    <mergeCell ref="B19:C20"/>
    <mergeCell ref="D19:D20"/>
    <mergeCell ref="E19:F20"/>
    <mergeCell ref="G19:H20"/>
    <mergeCell ref="I19:J20"/>
    <mergeCell ref="B22:C22"/>
    <mergeCell ref="E22:F22"/>
    <mergeCell ref="G22:H22"/>
    <mergeCell ref="I22:J22"/>
    <mergeCell ref="B21:C21"/>
    <mergeCell ref="E21:F21"/>
    <mergeCell ref="G21:H21"/>
    <mergeCell ref="I21:J21"/>
    <mergeCell ref="B24:C24"/>
    <mergeCell ref="E24:F24"/>
    <mergeCell ref="G24:H24"/>
    <mergeCell ref="I24:J24"/>
    <mergeCell ref="B23:C23"/>
    <mergeCell ref="E23:F23"/>
    <mergeCell ref="G23:H23"/>
    <mergeCell ref="I23:J23"/>
    <mergeCell ref="B26:C26"/>
    <mergeCell ref="E26:F26"/>
    <mergeCell ref="G26:H26"/>
    <mergeCell ref="I26:J26"/>
    <mergeCell ref="B25:C25"/>
    <mergeCell ref="E25:F25"/>
    <mergeCell ref="G25:H25"/>
    <mergeCell ref="I25:J25"/>
    <mergeCell ref="B28:C28"/>
    <mergeCell ref="E28:F28"/>
    <mergeCell ref="G28:H28"/>
    <mergeCell ref="I28:J28"/>
    <mergeCell ref="B27:C27"/>
    <mergeCell ref="E27:F27"/>
    <mergeCell ref="G27:H27"/>
    <mergeCell ref="I27:J27"/>
    <mergeCell ref="I36:J36"/>
    <mergeCell ref="B31:C31"/>
    <mergeCell ref="E31:F31"/>
    <mergeCell ref="G31:H31"/>
    <mergeCell ref="I31:J31"/>
    <mergeCell ref="B32:C32"/>
    <mergeCell ref="E32:F32"/>
    <mergeCell ref="B33:C33"/>
    <mergeCell ref="E33:F33"/>
    <mergeCell ref="G33:H33"/>
    <mergeCell ref="I33:J33"/>
    <mergeCell ref="B30:C30"/>
    <mergeCell ref="E30:F30"/>
    <mergeCell ref="G30:H30"/>
    <mergeCell ref="I30:J30"/>
    <mergeCell ref="G32:H32"/>
    <mergeCell ref="A47:J52"/>
    <mergeCell ref="A40:H40"/>
    <mergeCell ref="I40:J40"/>
    <mergeCell ref="A43:H43"/>
    <mergeCell ref="I43:J43"/>
    <mergeCell ref="A41:H41"/>
    <mergeCell ref="I41:J41"/>
    <mergeCell ref="B34:C34"/>
    <mergeCell ref="E34:F34"/>
    <mergeCell ref="G34:H34"/>
    <mergeCell ref="I34:J34"/>
    <mergeCell ref="I38:J38"/>
    <mergeCell ref="A39:H39"/>
    <mergeCell ref="I39:J39"/>
    <mergeCell ref="B35:C35"/>
    <mergeCell ref="E35:F35"/>
    <mergeCell ref="G35:H35"/>
    <mergeCell ref="I35:J35"/>
    <mergeCell ref="I44:J44"/>
    <mergeCell ref="A46:J46"/>
    <mergeCell ref="A42:H42"/>
    <mergeCell ref="I42:J42"/>
  </mergeCells>
  <phoneticPr fontId="6" type="noConversion"/>
  <pageMargins left="0.75" right="0.75" top="1" bottom="1" header="0.5" footer="0.5"/>
  <pageSetup paperSize="9" scale="83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5">
    <pageSetUpPr fitToPage="1"/>
  </sheetPr>
  <dimension ref="A1:K64"/>
  <sheetViews>
    <sheetView topLeftCell="A4" workbookViewId="0">
      <selection activeCell="K30" sqref="K30"/>
    </sheetView>
  </sheetViews>
  <sheetFormatPr defaultRowHeight="12.75" x14ac:dyDescent="0.2"/>
  <cols>
    <col min="6" max="6" width="11.28515625" customWidth="1"/>
    <col min="8" max="8" width="15.5703125" customWidth="1"/>
    <col min="9" max="9" width="13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587</v>
      </c>
      <c r="B2" s="6"/>
      <c r="C2" s="6"/>
      <c r="D2" s="6"/>
      <c r="E2" s="6"/>
      <c r="F2" s="6"/>
      <c r="G2" s="6"/>
      <c r="H2" s="6"/>
      <c r="I2" s="6"/>
      <c r="J2" s="7" t="s">
        <v>341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1" x14ac:dyDescent="0.2">
      <c r="A6" s="9">
        <v>1</v>
      </c>
      <c r="B6" s="128">
        <v>6532616</v>
      </c>
      <c r="C6" s="128"/>
      <c r="D6" s="128"/>
      <c r="E6" s="128"/>
      <c r="F6" s="12"/>
      <c r="G6" s="169" t="s">
        <v>588</v>
      </c>
      <c r="H6" s="169"/>
      <c r="I6" s="32">
        <v>82000</v>
      </c>
      <c r="J6" s="32">
        <f t="shared" ref="J6:J30" si="0">I6*0.8</f>
        <v>65600</v>
      </c>
    </row>
    <row r="7" spans="1:11" x14ac:dyDescent="0.2">
      <c r="A7" s="9">
        <v>2</v>
      </c>
      <c r="B7" s="128">
        <v>6531016</v>
      </c>
      <c r="C7" s="128"/>
      <c r="D7" s="128"/>
      <c r="E7" s="128"/>
      <c r="F7" s="12"/>
      <c r="G7" s="169" t="s">
        <v>589</v>
      </c>
      <c r="H7" s="169"/>
      <c r="I7" s="32">
        <f>62000+6655</f>
        <v>68655</v>
      </c>
      <c r="J7" s="32">
        <f t="shared" si="0"/>
        <v>54924</v>
      </c>
      <c r="K7" s="107"/>
    </row>
    <row r="8" spans="1:11" x14ac:dyDescent="0.2">
      <c r="A8" s="9">
        <v>3</v>
      </c>
      <c r="B8" s="128">
        <v>6530892</v>
      </c>
      <c r="C8" s="128"/>
      <c r="D8" s="128"/>
      <c r="E8" s="128"/>
      <c r="F8" s="12">
        <v>39777</v>
      </c>
      <c r="G8" s="169"/>
      <c r="H8" s="169"/>
      <c r="I8" s="32">
        <v>92179.9</v>
      </c>
      <c r="J8" s="32">
        <f t="shared" si="0"/>
        <v>73743.92</v>
      </c>
    </row>
    <row r="9" spans="1:11" x14ac:dyDescent="0.2">
      <c r="A9" s="9">
        <v>4</v>
      </c>
      <c r="B9" s="128">
        <v>6530893</v>
      </c>
      <c r="C9" s="128"/>
      <c r="D9" s="128"/>
      <c r="E9" s="128"/>
      <c r="F9" s="12">
        <v>39777</v>
      </c>
      <c r="G9" s="169"/>
      <c r="H9" s="169"/>
      <c r="I9" s="32">
        <v>131593.65</v>
      </c>
      <c r="J9" s="32">
        <f t="shared" si="0"/>
        <v>105274.92</v>
      </c>
    </row>
    <row r="10" spans="1:11" x14ac:dyDescent="0.2">
      <c r="A10" s="9">
        <v>5</v>
      </c>
      <c r="B10" s="128">
        <v>6534279</v>
      </c>
      <c r="C10" s="128"/>
      <c r="D10" s="128">
        <v>6534376</v>
      </c>
      <c r="E10" s="128"/>
      <c r="F10" s="12">
        <v>41221</v>
      </c>
      <c r="G10" s="169"/>
      <c r="H10" s="169"/>
      <c r="I10" s="32">
        <v>270909.11</v>
      </c>
      <c r="J10" s="32">
        <f t="shared" si="0"/>
        <v>216727.288</v>
      </c>
    </row>
    <row r="11" spans="1:11" x14ac:dyDescent="0.2">
      <c r="A11" s="9">
        <v>6</v>
      </c>
      <c r="B11" s="128">
        <v>6532926</v>
      </c>
      <c r="C11" s="128"/>
      <c r="D11" s="128">
        <v>6533078</v>
      </c>
      <c r="E11" s="128"/>
      <c r="F11" s="12">
        <v>41221</v>
      </c>
      <c r="G11" s="169"/>
      <c r="H11" s="169"/>
      <c r="I11" s="32">
        <v>163271.43</v>
      </c>
      <c r="J11" s="32">
        <f t="shared" si="0"/>
        <v>130617.144</v>
      </c>
    </row>
    <row r="12" spans="1:11" x14ac:dyDescent="0.2">
      <c r="A12" s="9">
        <v>7</v>
      </c>
      <c r="B12" s="128">
        <v>6533620</v>
      </c>
      <c r="C12" s="128"/>
      <c r="D12" s="128"/>
      <c r="E12" s="128"/>
      <c r="F12" s="12">
        <v>41869</v>
      </c>
      <c r="G12" s="169"/>
      <c r="H12" s="169"/>
      <c r="I12" s="32">
        <v>96924.45</v>
      </c>
      <c r="J12" s="32">
        <f t="shared" si="0"/>
        <v>77539.56</v>
      </c>
    </row>
    <row r="13" spans="1:11" x14ac:dyDescent="0.2">
      <c r="A13" s="9">
        <v>8</v>
      </c>
      <c r="B13" s="128">
        <v>6532349</v>
      </c>
      <c r="C13" s="128"/>
      <c r="D13" s="128"/>
      <c r="E13" s="128"/>
      <c r="F13" s="12">
        <v>41869</v>
      </c>
      <c r="G13" s="169"/>
      <c r="H13" s="169"/>
      <c r="I13" s="32">
        <v>71904.73</v>
      </c>
      <c r="J13" s="32">
        <f t="shared" si="0"/>
        <v>57523.784</v>
      </c>
    </row>
    <row r="14" spans="1:11" x14ac:dyDescent="0.2">
      <c r="A14" s="9">
        <v>9</v>
      </c>
      <c r="B14" s="128">
        <v>6534120</v>
      </c>
      <c r="C14" s="128"/>
      <c r="D14" s="128"/>
      <c r="E14" s="128"/>
      <c r="F14" s="12">
        <v>42033</v>
      </c>
      <c r="G14" s="169"/>
      <c r="H14" s="169"/>
      <c r="I14" s="32">
        <v>103553.31</v>
      </c>
      <c r="J14" s="32">
        <f t="shared" si="0"/>
        <v>82842.648000000001</v>
      </c>
    </row>
    <row r="15" spans="1:11" x14ac:dyDescent="0.2">
      <c r="A15" s="9">
        <v>10</v>
      </c>
      <c r="B15" s="128">
        <v>6533299</v>
      </c>
      <c r="C15" s="128"/>
      <c r="D15" s="128">
        <v>6530006</v>
      </c>
      <c r="E15" s="128"/>
      <c r="F15" s="12">
        <v>42317</v>
      </c>
      <c r="G15" s="169"/>
      <c r="H15" s="169"/>
      <c r="I15" s="32">
        <v>180811.13</v>
      </c>
      <c r="J15" s="32">
        <f t="shared" si="0"/>
        <v>144648.90400000001</v>
      </c>
    </row>
    <row r="16" spans="1:11" x14ac:dyDescent="0.2">
      <c r="A16" s="9">
        <v>11</v>
      </c>
      <c r="B16" s="128">
        <v>6532187</v>
      </c>
      <c r="C16" s="128"/>
      <c r="D16" s="230" t="s">
        <v>1151</v>
      </c>
      <c r="E16" s="128"/>
      <c r="F16" s="12">
        <v>42810</v>
      </c>
      <c r="G16" s="169"/>
      <c r="H16" s="169"/>
      <c r="I16" s="32">
        <v>142529.28</v>
      </c>
      <c r="J16" s="32">
        <f t="shared" si="0"/>
        <v>114023.424</v>
      </c>
    </row>
    <row r="17" spans="1:10" x14ac:dyDescent="0.2">
      <c r="A17" s="9">
        <v>12</v>
      </c>
      <c r="B17" s="128">
        <v>6533035</v>
      </c>
      <c r="C17" s="128"/>
      <c r="D17" s="137" t="s">
        <v>1151</v>
      </c>
      <c r="E17" s="128"/>
      <c r="F17" s="12">
        <v>43132</v>
      </c>
      <c r="G17" s="169"/>
      <c r="H17" s="169"/>
      <c r="I17" s="32">
        <v>249322.08</v>
      </c>
      <c r="J17" s="32">
        <f t="shared" si="0"/>
        <v>199457.66399999999</v>
      </c>
    </row>
    <row r="18" spans="1:10" x14ac:dyDescent="0.2">
      <c r="A18" s="9">
        <v>13</v>
      </c>
      <c r="B18" s="128">
        <v>6531733</v>
      </c>
      <c r="C18" s="128"/>
      <c r="D18" s="137" t="s">
        <v>1151</v>
      </c>
      <c r="E18" s="128"/>
      <c r="F18" s="12">
        <v>43249</v>
      </c>
      <c r="G18" s="169"/>
      <c r="H18" s="169"/>
      <c r="I18" s="32">
        <v>132056.94</v>
      </c>
      <c r="J18" s="32">
        <f t="shared" si="0"/>
        <v>105645.55200000001</v>
      </c>
    </row>
    <row r="19" spans="1:10" x14ac:dyDescent="0.2">
      <c r="A19" s="9">
        <v>14</v>
      </c>
      <c r="B19" s="128">
        <v>6530966</v>
      </c>
      <c r="C19" s="128"/>
      <c r="D19" s="137" t="s">
        <v>1151</v>
      </c>
      <c r="E19" s="128"/>
      <c r="F19" s="12">
        <v>43249</v>
      </c>
      <c r="G19" s="169"/>
      <c r="H19" s="169"/>
      <c r="I19" s="32">
        <v>225877.58</v>
      </c>
      <c r="J19" s="32">
        <f t="shared" si="0"/>
        <v>180702.06400000001</v>
      </c>
    </row>
    <row r="20" spans="1:10" x14ac:dyDescent="0.2">
      <c r="A20" s="9">
        <v>15</v>
      </c>
      <c r="B20" s="128">
        <v>6533531</v>
      </c>
      <c r="C20" s="128"/>
      <c r="D20" s="137" t="s">
        <v>1151</v>
      </c>
      <c r="E20" s="128"/>
      <c r="F20" s="12">
        <v>43452</v>
      </c>
      <c r="G20" s="169"/>
      <c r="H20" s="169"/>
      <c r="I20" s="32">
        <v>99898.93</v>
      </c>
      <c r="J20" s="32">
        <f t="shared" si="0"/>
        <v>79919.144</v>
      </c>
    </row>
    <row r="21" spans="1:10" x14ac:dyDescent="0.2">
      <c r="A21" s="9">
        <v>16</v>
      </c>
      <c r="B21" s="128">
        <v>6531881</v>
      </c>
      <c r="C21" s="128"/>
      <c r="D21" s="128">
        <v>6531882</v>
      </c>
      <c r="E21" s="128"/>
      <c r="F21" s="12">
        <v>43452</v>
      </c>
      <c r="G21" s="169"/>
      <c r="H21" s="169"/>
      <c r="I21" s="32">
        <v>172305.98</v>
      </c>
      <c r="J21" s="32">
        <f t="shared" si="0"/>
        <v>137844.78400000001</v>
      </c>
    </row>
    <row r="22" spans="1:10" x14ac:dyDescent="0.2">
      <c r="A22" s="9">
        <v>17</v>
      </c>
      <c r="B22" s="128">
        <v>6533353</v>
      </c>
      <c r="C22" s="128"/>
      <c r="D22" s="230" t="s">
        <v>1151</v>
      </c>
      <c r="E22" s="128"/>
      <c r="F22" s="12">
        <v>43871</v>
      </c>
      <c r="G22" s="169"/>
      <c r="H22" s="169"/>
      <c r="I22" s="32">
        <v>257513.21</v>
      </c>
      <c r="J22" s="32">
        <f t="shared" si="0"/>
        <v>206010.568</v>
      </c>
    </row>
    <row r="23" spans="1:10" x14ac:dyDescent="0.2">
      <c r="A23" s="9">
        <v>18</v>
      </c>
      <c r="B23" s="128">
        <v>6533914</v>
      </c>
      <c r="C23" s="128"/>
      <c r="D23" s="230" t="s">
        <v>1151</v>
      </c>
      <c r="E23" s="128"/>
      <c r="F23" s="12">
        <v>43871</v>
      </c>
      <c r="G23" s="169"/>
      <c r="H23" s="169"/>
      <c r="I23" s="32">
        <v>131970.57999999999</v>
      </c>
      <c r="J23" s="32">
        <f t="shared" si="0"/>
        <v>105576.46399999999</v>
      </c>
    </row>
    <row r="24" spans="1:10" x14ac:dyDescent="0.2">
      <c r="A24" s="9">
        <v>19</v>
      </c>
      <c r="B24" s="128">
        <v>6533051</v>
      </c>
      <c r="C24" s="128"/>
      <c r="D24" s="230" t="s">
        <v>1151</v>
      </c>
      <c r="E24" s="128"/>
      <c r="F24" s="12">
        <v>43871</v>
      </c>
      <c r="G24" s="169"/>
      <c r="H24" s="169"/>
      <c r="I24" s="32">
        <v>113433.66</v>
      </c>
      <c r="J24" s="32">
        <f t="shared" si="0"/>
        <v>90746.928000000014</v>
      </c>
    </row>
    <row r="25" spans="1:10" x14ac:dyDescent="0.2">
      <c r="A25" s="9">
        <v>20</v>
      </c>
      <c r="B25" s="128">
        <v>6531091</v>
      </c>
      <c r="C25" s="128"/>
      <c r="D25" s="230" t="s">
        <v>1151</v>
      </c>
      <c r="E25" s="128"/>
      <c r="F25" s="12">
        <v>43871</v>
      </c>
      <c r="G25" s="169"/>
      <c r="H25" s="169"/>
      <c r="I25" s="32">
        <v>106709.4</v>
      </c>
      <c r="J25" s="32">
        <f t="shared" si="0"/>
        <v>85367.52</v>
      </c>
    </row>
    <row r="26" spans="1:10" x14ac:dyDescent="0.2">
      <c r="A26" s="9">
        <v>21</v>
      </c>
      <c r="B26" s="128">
        <v>6531210</v>
      </c>
      <c r="C26" s="128"/>
      <c r="D26" s="230" t="s">
        <v>1151</v>
      </c>
      <c r="E26" s="128"/>
      <c r="F26" s="12">
        <v>45161</v>
      </c>
      <c r="G26" s="169" t="s">
        <v>1647</v>
      </c>
      <c r="H26" s="169"/>
      <c r="I26" s="32">
        <v>110378</v>
      </c>
      <c r="J26" s="32">
        <f t="shared" si="0"/>
        <v>88302.400000000009</v>
      </c>
    </row>
    <row r="27" spans="1:10" x14ac:dyDescent="0.2">
      <c r="A27" s="9">
        <v>22</v>
      </c>
      <c r="B27" s="128">
        <v>6533965</v>
      </c>
      <c r="C27" s="128"/>
      <c r="D27" s="230" t="s">
        <v>1151</v>
      </c>
      <c r="E27" s="128"/>
      <c r="F27" s="12">
        <v>45161</v>
      </c>
      <c r="G27" s="169" t="s">
        <v>1644</v>
      </c>
      <c r="H27" s="169"/>
      <c r="I27" s="32">
        <v>127668.23</v>
      </c>
      <c r="J27" s="32">
        <f t="shared" si="0"/>
        <v>102134.584</v>
      </c>
    </row>
    <row r="28" spans="1:10" x14ac:dyDescent="0.2">
      <c r="A28" s="9">
        <v>23</v>
      </c>
      <c r="B28" s="192">
        <v>6532136</v>
      </c>
      <c r="C28" s="204"/>
      <c r="D28" s="192" t="s">
        <v>1151</v>
      </c>
      <c r="E28" s="204"/>
      <c r="F28" s="12">
        <v>45161</v>
      </c>
      <c r="G28" s="179" t="s">
        <v>1643</v>
      </c>
      <c r="H28" s="181"/>
      <c r="I28" s="32">
        <v>692492.89</v>
      </c>
      <c r="J28" s="32">
        <f t="shared" si="0"/>
        <v>553994.31200000003</v>
      </c>
    </row>
    <row r="29" spans="1:10" x14ac:dyDescent="0.2">
      <c r="A29" s="9">
        <v>24</v>
      </c>
      <c r="B29" s="128">
        <v>6532179</v>
      </c>
      <c r="C29" s="128"/>
      <c r="D29" s="128" t="s">
        <v>1151</v>
      </c>
      <c r="E29" s="128"/>
      <c r="F29" s="12">
        <v>45161</v>
      </c>
      <c r="G29" s="169" t="s">
        <v>1648</v>
      </c>
      <c r="H29" s="169"/>
      <c r="I29" s="32">
        <v>131794.73000000001</v>
      </c>
      <c r="J29" s="32">
        <f>I29*0.8</f>
        <v>105435.78400000001</v>
      </c>
    </row>
    <row r="30" spans="1:10" x14ac:dyDescent="0.2">
      <c r="A30" s="9">
        <v>25</v>
      </c>
      <c r="B30" s="128">
        <v>6531822</v>
      </c>
      <c r="C30" s="128"/>
      <c r="D30" s="128" t="s">
        <v>1151</v>
      </c>
      <c r="E30" s="128"/>
      <c r="F30" s="12">
        <v>45174</v>
      </c>
      <c r="G30" s="169" t="s">
        <v>1645</v>
      </c>
      <c r="H30" s="169"/>
      <c r="I30" s="32">
        <v>289863.61</v>
      </c>
      <c r="J30" s="32">
        <f t="shared" si="0"/>
        <v>231890.88800000001</v>
      </c>
    </row>
    <row r="31" spans="1:10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33">
        <f>SUM(I6:I30)</f>
        <v>4245617.8100000005</v>
      </c>
      <c r="J31" s="33">
        <f>SUM(J6:J30)</f>
        <v>3396494.2479999992</v>
      </c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31" t="s">
        <v>34</v>
      </c>
      <c r="B33" s="132"/>
      <c r="C33" s="132"/>
      <c r="D33" s="132"/>
      <c r="E33" s="132"/>
      <c r="F33" s="132"/>
      <c r="G33" s="132"/>
      <c r="H33" s="132"/>
      <c r="I33" s="132"/>
      <c r="J33" s="133"/>
    </row>
    <row r="34" spans="1:10" x14ac:dyDescent="0.2">
      <c r="A34" s="169" t="s">
        <v>23</v>
      </c>
      <c r="B34" s="169" t="s">
        <v>35</v>
      </c>
      <c r="C34" s="169"/>
      <c r="D34" s="169" t="s">
        <v>36</v>
      </c>
      <c r="E34" s="169" t="s">
        <v>37</v>
      </c>
      <c r="F34" s="169"/>
      <c r="G34" s="169" t="s">
        <v>38</v>
      </c>
      <c r="H34" s="169"/>
      <c r="I34" s="169" t="s">
        <v>39</v>
      </c>
      <c r="J34" s="169"/>
    </row>
    <row r="35" spans="1:10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x14ac:dyDescent="0.2">
      <c r="A36" s="9">
        <v>1</v>
      </c>
      <c r="B36" s="128">
        <v>465850</v>
      </c>
      <c r="C36" s="128"/>
      <c r="D36" s="9">
        <v>77235</v>
      </c>
      <c r="E36" s="182">
        <v>41088</v>
      </c>
      <c r="F36" s="128"/>
      <c r="G36" s="227" t="s">
        <v>14</v>
      </c>
      <c r="H36" s="228"/>
      <c r="I36" s="136">
        <v>899543</v>
      </c>
      <c r="J36" s="136"/>
    </row>
    <row r="37" spans="1:10" x14ac:dyDescent="0.2">
      <c r="A37" s="19">
        <v>2</v>
      </c>
      <c r="B37" s="137">
        <v>466260</v>
      </c>
      <c r="C37" s="137"/>
      <c r="D37" s="19">
        <v>83541</v>
      </c>
      <c r="E37" s="345">
        <v>43545</v>
      </c>
      <c r="F37" s="346"/>
      <c r="G37" s="137" t="s">
        <v>1030</v>
      </c>
      <c r="H37" s="137"/>
      <c r="I37" s="138">
        <v>666525.02</v>
      </c>
      <c r="J37" s="138"/>
    </row>
    <row r="38" spans="1:10" x14ac:dyDescent="0.2">
      <c r="A38" s="58">
        <v>3</v>
      </c>
      <c r="B38" s="151"/>
      <c r="C38" s="151"/>
      <c r="D38" s="58">
        <v>109316</v>
      </c>
      <c r="E38" s="151"/>
      <c r="F38" s="151"/>
      <c r="G38" s="151" t="s">
        <v>1378</v>
      </c>
      <c r="H38" s="151"/>
      <c r="I38" s="152">
        <v>378831.34</v>
      </c>
      <c r="J38" s="152"/>
    </row>
    <row r="39" spans="1:10" x14ac:dyDescent="0.2">
      <c r="A39" s="82"/>
      <c r="B39" s="198"/>
      <c r="C39" s="198"/>
      <c r="D39" s="82"/>
      <c r="E39" s="198"/>
      <c r="F39" s="198"/>
      <c r="G39" s="198"/>
      <c r="H39" s="198"/>
      <c r="I39" s="199"/>
      <c r="J39" s="199"/>
    </row>
    <row r="40" spans="1:10" x14ac:dyDescent="0.2">
      <c r="A40" s="9"/>
      <c r="B40" s="128"/>
      <c r="C40" s="128"/>
      <c r="D40" s="9"/>
      <c r="E40" s="128"/>
      <c r="F40" s="128"/>
      <c r="G40" s="128"/>
      <c r="H40" s="128"/>
      <c r="I40" s="136"/>
      <c r="J40" s="136"/>
    </row>
    <row r="41" spans="1:10" x14ac:dyDescent="0.2">
      <c r="A41" s="9"/>
      <c r="B41" s="128"/>
      <c r="C41" s="128"/>
      <c r="D41" s="9"/>
      <c r="E41" s="128"/>
      <c r="F41" s="128"/>
      <c r="G41" s="128"/>
      <c r="H41" s="128"/>
      <c r="I41" s="136"/>
      <c r="J41" s="136"/>
    </row>
    <row r="42" spans="1:10" x14ac:dyDescent="0.2">
      <c r="A42" s="9"/>
      <c r="B42" s="128"/>
      <c r="C42" s="128"/>
      <c r="D42" s="9"/>
      <c r="E42" s="128"/>
      <c r="F42" s="128"/>
      <c r="G42" s="128"/>
      <c r="H42" s="128"/>
      <c r="I42" s="136"/>
      <c r="J42" s="136"/>
    </row>
    <row r="43" spans="1:10" ht="13.5" thickBot="1" x14ac:dyDescent="0.25">
      <c r="A43" s="9"/>
      <c r="B43" s="128"/>
      <c r="C43" s="128"/>
      <c r="D43" s="9"/>
      <c r="E43" s="128"/>
      <c r="F43" s="128"/>
      <c r="G43" s="128"/>
      <c r="H43" s="128"/>
      <c r="I43" s="226"/>
      <c r="J43" s="226"/>
    </row>
    <row r="44" spans="1:10" ht="13.5" thickTop="1" x14ac:dyDescent="0.2">
      <c r="A44" s="13"/>
      <c r="B44" s="13"/>
      <c r="C44" s="13"/>
      <c r="D44" s="13"/>
      <c r="E44" s="13"/>
      <c r="F44" s="13"/>
      <c r="G44" s="13"/>
      <c r="H44" s="13" t="s">
        <v>33</v>
      </c>
      <c r="I44" s="140">
        <f>SUM(I36:J43)</f>
        <v>1944899.36</v>
      </c>
      <c r="J44" s="140"/>
    </row>
    <row r="45" spans="1:10" x14ac:dyDescent="0.2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 x14ac:dyDescent="0.25">
      <c r="A46" s="15" t="s">
        <v>46</v>
      </c>
      <c r="B46" s="16"/>
      <c r="C46" s="16"/>
      <c r="D46" s="16"/>
      <c r="E46" s="16"/>
      <c r="F46" s="16"/>
      <c r="G46" s="16"/>
      <c r="H46" s="16"/>
      <c r="I46" s="149" t="s">
        <v>47</v>
      </c>
      <c r="J46" s="150"/>
    </row>
    <row r="47" spans="1:10" x14ac:dyDescent="0.2">
      <c r="A47" s="144" t="s">
        <v>48</v>
      </c>
      <c r="B47" s="144"/>
      <c r="C47" s="144"/>
      <c r="D47" s="144"/>
      <c r="E47" s="144"/>
      <c r="F47" s="144"/>
      <c r="G47" s="144"/>
      <c r="H47" s="144"/>
      <c r="I47" s="148">
        <f>I31*80%</f>
        <v>3396494.2480000006</v>
      </c>
      <c r="J47" s="148"/>
    </row>
    <row r="48" spans="1:10" x14ac:dyDescent="0.2">
      <c r="A48" s="144" t="s">
        <v>810</v>
      </c>
      <c r="B48" s="144"/>
      <c r="C48" s="144"/>
      <c r="D48" s="144"/>
      <c r="E48" s="144"/>
      <c r="F48" s="144"/>
      <c r="G48" s="144"/>
      <c r="H48" s="144"/>
      <c r="I48" s="184">
        <v>400000</v>
      </c>
      <c r="J48" s="184"/>
    </row>
    <row r="49" spans="1:10" x14ac:dyDescent="0.2">
      <c r="A49" s="185" t="s">
        <v>8</v>
      </c>
      <c r="B49" s="142"/>
      <c r="C49" s="142"/>
      <c r="D49" s="142"/>
      <c r="E49" s="142"/>
      <c r="F49" s="142"/>
      <c r="G49" s="142"/>
      <c r="H49" s="143"/>
      <c r="I49" s="285">
        <v>200000</v>
      </c>
      <c r="J49" s="286"/>
    </row>
    <row r="50" spans="1:10" x14ac:dyDescent="0.2">
      <c r="A50" s="141" t="s">
        <v>1175</v>
      </c>
      <c r="B50" s="142"/>
      <c r="C50" s="142"/>
      <c r="D50" s="142"/>
      <c r="E50" s="142"/>
      <c r="F50" s="142"/>
      <c r="G50" s="142"/>
      <c r="H50" s="143"/>
      <c r="I50" s="146">
        <v>168715.7</v>
      </c>
      <c r="J50" s="147"/>
    </row>
    <row r="51" spans="1:10" x14ac:dyDescent="0.2">
      <c r="A51" s="187" t="s">
        <v>1269</v>
      </c>
      <c r="B51" s="188"/>
      <c r="C51" s="188"/>
      <c r="D51" s="188"/>
      <c r="E51" s="188"/>
      <c r="F51" s="188"/>
      <c r="G51" s="188"/>
      <c r="H51" s="189"/>
      <c r="I51" s="190">
        <v>-394617</v>
      </c>
      <c r="J51" s="191"/>
    </row>
    <row r="52" spans="1:10" x14ac:dyDescent="0.2">
      <c r="A52" s="187" t="s">
        <v>1273</v>
      </c>
      <c r="B52" s="188"/>
      <c r="C52" s="188"/>
      <c r="D52" s="188"/>
      <c r="E52" s="188"/>
      <c r="F52" s="188"/>
      <c r="G52" s="188"/>
      <c r="H52" s="189"/>
      <c r="I52" s="190">
        <v>-56031.9</v>
      </c>
      <c r="J52" s="191"/>
    </row>
    <row r="53" spans="1:10" x14ac:dyDescent="0.2">
      <c r="A53" s="187" t="s">
        <v>1308</v>
      </c>
      <c r="B53" s="188"/>
      <c r="C53" s="188"/>
      <c r="D53" s="188"/>
      <c r="E53" s="188"/>
      <c r="F53" s="188"/>
      <c r="G53" s="188"/>
      <c r="H53" s="189"/>
      <c r="I53" s="190">
        <v>-322515</v>
      </c>
      <c r="J53" s="191"/>
    </row>
    <row r="54" spans="1:10" x14ac:dyDescent="0.2">
      <c r="A54" s="187" t="s">
        <v>1379</v>
      </c>
      <c r="B54" s="188"/>
      <c r="C54" s="188"/>
      <c r="D54" s="188"/>
      <c r="E54" s="188"/>
      <c r="F54" s="188"/>
      <c r="G54" s="188"/>
      <c r="H54" s="189"/>
      <c r="I54" s="190">
        <v>-319695.75</v>
      </c>
      <c r="J54" s="191"/>
    </row>
    <row r="55" spans="1:10" ht="13.5" thickBot="1" x14ac:dyDescent="0.25">
      <c r="A55" s="231" t="s">
        <v>50</v>
      </c>
      <c r="B55" s="144"/>
      <c r="C55" s="144"/>
      <c r="D55" s="144"/>
      <c r="E55" s="144"/>
      <c r="F55" s="144"/>
      <c r="G55" s="144"/>
      <c r="H55" s="144"/>
      <c r="I55" s="145">
        <f>I44</f>
        <v>1944899.36</v>
      </c>
      <c r="J55" s="145"/>
    </row>
    <row r="56" spans="1:10" ht="13.5" thickTop="1" x14ac:dyDescent="0.2">
      <c r="H56" s="18" t="s">
        <v>33</v>
      </c>
      <c r="I56" s="129">
        <f>I47+I48+I49+I50+I51+I52+I53+I54-I55</f>
        <v>1127450.9380000008</v>
      </c>
      <c r="J56" s="130"/>
    </row>
    <row r="58" spans="1:10" ht="15" x14ac:dyDescent="0.25">
      <c r="A58" s="131" t="s">
        <v>51</v>
      </c>
      <c r="B58" s="132"/>
      <c r="C58" s="132"/>
      <c r="D58" s="132"/>
      <c r="E58" s="132"/>
      <c r="F58" s="132"/>
      <c r="G58" s="132"/>
      <c r="H58" s="132"/>
      <c r="I58" s="132"/>
      <c r="J58" s="133"/>
    </row>
    <row r="59" spans="1:10" x14ac:dyDescent="0.2">
      <c r="A59" s="139" t="s">
        <v>590</v>
      </c>
      <c r="B59" s="139"/>
      <c r="C59" s="139"/>
      <c r="D59" s="139"/>
      <c r="E59" s="139"/>
      <c r="F59" s="139"/>
      <c r="G59" s="139"/>
      <c r="H59" s="139"/>
      <c r="I59" s="139"/>
      <c r="J59" s="139"/>
    </row>
    <row r="60" spans="1:10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</row>
    <row r="61" spans="1:10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</row>
    <row r="62" spans="1:10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</row>
    <row r="63" spans="1:10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</row>
    <row r="64" spans="1:10" x14ac:dyDescent="0.2">
      <c r="A64" s="139"/>
      <c r="B64" s="139"/>
      <c r="C64" s="139"/>
      <c r="D64" s="139"/>
      <c r="E64" s="139"/>
      <c r="F64" s="139"/>
      <c r="G64" s="139"/>
      <c r="H64" s="139"/>
      <c r="I64" s="139"/>
      <c r="J64" s="139"/>
    </row>
  </sheetData>
  <mergeCells count="146">
    <mergeCell ref="B24:C24"/>
    <mergeCell ref="D24:E24"/>
    <mergeCell ref="G24:H24"/>
    <mergeCell ref="B25:C25"/>
    <mergeCell ref="D25:E25"/>
    <mergeCell ref="G25:H25"/>
    <mergeCell ref="I52:J52"/>
    <mergeCell ref="A33:J33"/>
    <mergeCell ref="A51:H51"/>
    <mergeCell ref="I51:J51"/>
    <mergeCell ref="D29:E29"/>
    <mergeCell ref="G29:H29"/>
    <mergeCell ref="B30:C30"/>
    <mergeCell ref="D30:E30"/>
    <mergeCell ref="G30:H30"/>
    <mergeCell ref="I34:J35"/>
    <mergeCell ref="B37:C37"/>
    <mergeCell ref="E37:F37"/>
    <mergeCell ref="G37:H37"/>
    <mergeCell ref="I37:J37"/>
    <mergeCell ref="B36:C36"/>
    <mergeCell ref="E36:F36"/>
    <mergeCell ref="I36:J36"/>
    <mergeCell ref="G36:H36"/>
    <mergeCell ref="B22:C22"/>
    <mergeCell ref="D22:E22"/>
    <mergeCell ref="G22:H22"/>
    <mergeCell ref="B23:C23"/>
    <mergeCell ref="D23:E23"/>
    <mergeCell ref="G23:H23"/>
    <mergeCell ref="B17:C17"/>
    <mergeCell ref="D17:E17"/>
    <mergeCell ref="G17:H17"/>
    <mergeCell ref="G20:H20"/>
    <mergeCell ref="B21:C21"/>
    <mergeCell ref="D21:E21"/>
    <mergeCell ref="G21:H21"/>
    <mergeCell ref="B16:C16"/>
    <mergeCell ref="D16:E16"/>
    <mergeCell ref="G16:H16"/>
    <mergeCell ref="I50:J50"/>
    <mergeCell ref="B29:C29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A34:A35"/>
    <mergeCell ref="B34:C35"/>
    <mergeCell ref="D34:D35"/>
    <mergeCell ref="E34:F35"/>
    <mergeCell ref="G34:H35"/>
    <mergeCell ref="D14:E14"/>
    <mergeCell ref="G14:H14"/>
    <mergeCell ref="B15:C15"/>
    <mergeCell ref="D15:E15"/>
    <mergeCell ref="G15:H15"/>
    <mergeCell ref="B18:C18"/>
    <mergeCell ref="D18:E18"/>
    <mergeCell ref="G18:H18"/>
    <mergeCell ref="B19:C19"/>
    <mergeCell ref="D19:E19"/>
    <mergeCell ref="G19:H19"/>
    <mergeCell ref="B20:C20"/>
    <mergeCell ref="D20:E20"/>
    <mergeCell ref="B38:C38"/>
    <mergeCell ref="E38:F38"/>
    <mergeCell ref="G38:H38"/>
    <mergeCell ref="I38:J38"/>
    <mergeCell ref="B40:C40"/>
    <mergeCell ref="E40:F40"/>
    <mergeCell ref="G40:H40"/>
    <mergeCell ref="I40:J40"/>
    <mergeCell ref="B39:C39"/>
    <mergeCell ref="E39:F39"/>
    <mergeCell ref="I39:J39"/>
    <mergeCell ref="G39:H39"/>
    <mergeCell ref="B42:C42"/>
    <mergeCell ref="E42:F42"/>
    <mergeCell ref="G42:H42"/>
    <mergeCell ref="I42:J42"/>
    <mergeCell ref="B41:C41"/>
    <mergeCell ref="E41:F41"/>
    <mergeCell ref="G41:H41"/>
    <mergeCell ref="I41:J41"/>
    <mergeCell ref="A59:J64"/>
    <mergeCell ref="I56:J56"/>
    <mergeCell ref="A58:J58"/>
    <mergeCell ref="A53:H53"/>
    <mergeCell ref="I53:J53"/>
    <mergeCell ref="I49:J49"/>
    <mergeCell ref="A54:H54"/>
    <mergeCell ref="I54:J54"/>
    <mergeCell ref="I4:I5"/>
    <mergeCell ref="J4:J5"/>
    <mergeCell ref="A48:H48"/>
    <mergeCell ref="I48:J48"/>
    <mergeCell ref="A55:H55"/>
    <mergeCell ref="I55:J55"/>
    <mergeCell ref="I46:J46"/>
    <mergeCell ref="A47:H47"/>
    <mergeCell ref="I47:J47"/>
    <mergeCell ref="B43:C43"/>
    <mergeCell ref="E43:F43"/>
    <mergeCell ref="G43:H43"/>
    <mergeCell ref="I43:J43"/>
    <mergeCell ref="A49:H49"/>
    <mergeCell ref="I44:J44"/>
    <mergeCell ref="A50:H50"/>
    <mergeCell ref="A52:H52"/>
    <mergeCell ref="B13:C13"/>
    <mergeCell ref="D13:E13"/>
    <mergeCell ref="G13:H13"/>
    <mergeCell ref="B12:C12"/>
    <mergeCell ref="D12:E12"/>
    <mergeCell ref="G12:H12"/>
    <mergeCell ref="B14:C14"/>
    <mergeCell ref="G28:H28"/>
    <mergeCell ref="D28:E28"/>
    <mergeCell ref="B28:C28"/>
    <mergeCell ref="B26:C26"/>
    <mergeCell ref="D26:E26"/>
    <mergeCell ref="G26:H26"/>
    <mergeCell ref="B27:C27"/>
    <mergeCell ref="D27:E27"/>
    <mergeCell ref="G27:H27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46">
    <pageSetUpPr fitToPage="1"/>
  </sheetPr>
  <dimension ref="A1:K110"/>
  <sheetViews>
    <sheetView workbookViewId="0">
      <selection activeCell="K24" sqref="K24"/>
    </sheetView>
  </sheetViews>
  <sheetFormatPr defaultRowHeight="12.75" x14ac:dyDescent="0.2"/>
  <cols>
    <col min="6" max="6" width="12.5703125" customWidth="1"/>
    <col min="8" max="8" width="19.140625" customWidth="1"/>
    <col min="9" max="9" width="12.7109375" bestFit="1" customWidth="1"/>
    <col min="10" max="10" width="12.7109375" customWidth="1"/>
    <col min="11" max="11" width="12.710937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591</v>
      </c>
      <c r="B2" s="6"/>
      <c r="C2" s="6"/>
      <c r="D2" s="6"/>
      <c r="E2" s="6"/>
      <c r="F2" s="6"/>
      <c r="G2" s="6"/>
      <c r="H2" s="6"/>
      <c r="I2" s="6"/>
      <c r="J2" s="7" t="s">
        <v>164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1" x14ac:dyDescent="0.2">
      <c r="A6" s="9">
        <v>1</v>
      </c>
      <c r="B6" s="128">
        <v>6633927</v>
      </c>
      <c r="C6" s="128"/>
      <c r="D6" s="128">
        <v>6633951</v>
      </c>
      <c r="E6" s="128"/>
      <c r="F6" s="12">
        <v>33247</v>
      </c>
      <c r="G6" s="169" t="s">
        <v>592</v>
      </c>
      <c r="H6" s="169"/>
      <c r="I6" s="32">
        <v>47613.75</v>
      </c>
      <c r="J6" s="32">
        <f>I6*0.8</f>
        <v>38091</v>
      </c>
    </row>
    <row r="7" spans="1:11" x14ac:dyDescent="0.2">
      <c r="A7" s="9">
        <v>2</v>
      </c>
      <c r="B7" s="128">
        <v>6630626</v>
      </c>
      <c r="C7" s="128"/>
      <c r="D7" s="128">
        <v>6632432</v>
      </c>
      <c r="E7" s="128"/>
      <c r="F7" s="12">
        <v>33731</v>
      </c>
      <c r="G7" s="169" t="s">
        <v>593</v>
      </c>
      <c r="H7" s="169"/>
      <c r="I7" s="32">
        <v>188071.75</v>
      </c>
      <c r="J7" s="32">
        <f t="shared" ref="J7:J24" si="0">I7*0.8</f>
        <v>150457.4</v>
      </c>
    </row>
    <row r="8" spans="1:11" x14ac:dyDescent="0.2">
      <c r="A8" s="9">
        <v>3</v>
      </c>
      <c r="B8" s="128">
        <v>6630987</v>
      </c>
      <c r="C8" s="128"/>
      <c r="D8" s="128">
        <v>6632556</v>
      </c>
      <c r="E8" s="128"/>
      <c r="F8" s="12">
        <v>34624</v>
      </c>
      <c r="G8" s="169" t="s">
        <v>594</v>
      </c>
      <c r="H8" s="169"/>
      <c r="I8" s="32">
        <v>126144.5</v>
      </c>
      <c r="J8" s="32">
        <f t="shared" si="0"/>
        <v>100915.6</v>
      </c>
    </row>
    <row r="9" spans="1:11" x14ac:dyDescent="0.2">
      <c r="A9" s="9">
        <v>4</v>
      </c>
      <c r="B9" s="128">
        <v>6631029</v>
      </c>
      <c r="C9" s="128"/>
      <c r="D9" s="128">
        <v>6632564</v>
      </c>
      <c r="E9" s="128"/>
      <c r="F9" s="12">
        <v>34624</v>
      </c>
      <c r="G9" s="169" t="s">
        <v>595</v>
      </c>
      <c r="H9" s="169"/>
      <c r="I9" s="32">
        <v>150370.88</v>
      </c>
      <c r="J9" s="32">
        <f t="shared" si="0"/>
        <v>120296.70400000001</v>
      </c>
    </row>
    <row r="10" spans="1:11" x14ac:dyDescent="0.2">
      <c r="A10" s="9">
        <v>5</v>
      </c>
      <c r="B10" s="128">
        <v>6631045</v>
      </c>
      <c r="C10" s="128"/>
      <c r="D10" s="128">
        <v>6632637</v>
      </c>
      <c r="E10" s="128"/>
      <c r="F10" s="12">
        <v>35108</v>
      </c>
      <c r="G10" s="169" t="s">
        <v>596</v>
      </c>
      <c r="H10" s="169"/>
      <c r="I10" s="32">
        <v>136804.25</v>
      </c>
      <c r="J10" s="32">
        <f t="shared" si="0"/>
        <v>109443.40000000001</v>
      </c>
    </row>
    <row r="11" spans="1:11" x14ac:dyDescent="0.2">
      <c r="A11" s="9">
        <v>6</v>
      </c>
      <c r="B11" s="128">
        <v>6631258</v>
      </c>
      <c r="C11" s="128"/>
      <c r="D11" s="128">
        <v>6632610</v>
      </c>
      <c r="E11" s="128"/>
      <c r="F11" s="12">
        <v>35081</v>
      </c>
      <c r="G11" s="169" t="s">
        <v>597</v>
      </c>
      <c r="H11" s="169"/>
      <c r="I11" s="32">
        <v>204406.3</v>
      </c>
      <c r="J11" s="32">
        <f t="shared" si="0"/>
        <v>163525.04</v>
      </c>
    </row>
    <row r="12" spans="1:11" x14ac:dyDescent="0.2">
      <c r="A12" s="9">
        <v>7</v>
      </c>
      <c r="B12" s="128">
        <v>6630561</v>
      </c>
      <c r="C12" s="128"/>
      <c r="D12" s="128">
        <v>6630618</v>
      </c>
      <c r="E12" s="128"/>
      <c r="F12" s="12">
        <v>35691</v>
      </c>
      <c r="G12" s="169" t="s">
        <v>598</v>
      </c>
      <c r="H12" s="169"/>
      <c r="I12" s="32">
        <v>263880.38</v>
      </c>
      <c r="J12" s="32">
        <f t="shared" si="0"/>
        <v>211104.304</v>
      </c>
    </row>
    <row r="13" spans="1:11" x14ac:dyDescent="0.2">
      <c r="A13" s="9">
        <v>8</v>
      </c>
      <c r="B13" s="128">
        <v>6631118</v>
      </c>
      <c r="C13" s="128"/>
      <c r="D13" s="128">
        <v>6632629</v>
      </c>
      <c r="E13" s="128"/>
      <c r="F13" s="12">
        <v>35108</v>
      </c>
      <c r="G13" s="169" t="s">
        <v>599</v>
      </c>
      <c r="H13" s="169"/>
      <c r="I13" s="32">
        <v>156974.69</v>
      </c>
      <c r="J13" s="32">
        <f t="shared" si="0"/>
        <v>125579.75200000001</v>
      </c>
      <c r="K13" s="107"/>
    </row>
    <row r="14" spans="1:11" x14ac:dyDescent="0.2">
      <c r="A14" s="9">
        <v>9</v>
      </c>
      <c r="B14" s="192">
        <v>6631398</v>
      </c>
      <c r="C14" s="204"/>
      <c r="D14" s="192">
        <v>6634869</v>
      </c>
      <c r="E14" s="204"/>
      <c r="F14" s="12">
        <v>39826</v>
      </c>
      <c r="G14" s="179"/>
      <c r="H14" s="181"/>
      <c r="I14" s="32">
        <v>390986.81</v>
      </c>
      <c r="J14" s="32">
        <f t="shared" si="0"/>
        <v>312789.44800000003</v>
      </c>
    </row>
    <row r="15" spans="1:11" x14ac:dyDescent="0.2">
      <c r="A15" s="9">
        <v>10</v>
      </c>
      <c r="B15" s="128">
        <v>6631363</v>
      </c>
      <c r="C15" s="128"/>
      <c r="D15" s="128">
        <v>6634850</v>
      </c>
      <c r="E15" s="128"/>
      <c r="F15" s="12">
        <v>39826</v>
      </c>
      <c r="G15" s="169"/>
      <c r="H15" s="169"/>
      <c r="I15" s="32">
        <v>437207.78</v>
      </c>
      <c r="J15" s="32">
        <f t="shared" si="0"/>
        <v>349766.22400000005</v>
      </c>
    </row>
    <row r="16" spans="1:11" x14ac:dyDescent="0.2">
      <c r="A16" s="9">
        <v>11</v>
      </c>
      <c r="B16" s="192">
        <v>6632386</v>
      </c>
      <c r="C16" s="204"/>
      <c r="D16" s="192">
        <v>6635148</v>
      </c>
      <c r="E16" s="204"/>
      <c r="F16" s="12">
        <v>40168</v>
      </c>
      <c r="G16" s="179"/>
      <c r="H16" s="181"/>
      <c r="I16" s="32">
        <v>140759.41</v>
      </c>
      <c r="J16" s="32">
        <f t="shared" si="0"/>
        <v>112607.52800000001</v>
      </c>
    </row>
    <row r="17" spans="1:10" x14ac:dyDescent="0.2">
      <c r="A17" s="9">
        <v>12</v>
      </c>
      <c r="B17" s="128">
        <v>6630294</v>
      </c>
      <c r="C17" s="128"/>
      <c r="D17" s="128">
        <v>6634885</v>
      </c>
      <c r="E17" s="128"/>
      <c r="F17" s="12">
        <v>40525</v>
      </c>
      <c r="G17" s="169"/>
      <c r="H17" s="169"/>
      <c r="I17" s="32">
        <v>223727.04</v>
      </c>
      <c r="J17" s="32">
        <f t="shared" si="0"/>
        <v>178981.63200000001</v>
      </c>
    </row>
    <row r="18" spans="1:10" x14ac:dyDescent="0.2">
      <c r="A18" s="9">
        <v>13</v>
      </c>
      <c r="B18" s="128">
        <v>6633080</v>
      </c>
      <c r="C18" s="128"/>
      <c r="D18" s="128">
        <v>6635288</v>
      </c>
      <c r="E18" s="128"/>
      <c r="F18" s="12">
        <v>41359</v>
      </c>
      <c r="G18" s="169"/>
      <c r="H18" s="169"/>
      <c r="I18" s="32">
        <v>245207.13</v>
      </c>
      <c r="J18" s="32">
        <f t="shared" si="0"/>
        <v>196165.70400000003</v>
      </c>
    </row>
    <row r="19" spans="1:10" x14ac:dyDescent="0.2">
      <c r="A19" s="9">
        <v>14</v>
      </c>
      <c r="B19" s="128">
        <v>6633234</v>
      </c>
      <c r="C19" s="128"/>
      <c r="D19" s="137" t="s">
        <v>1113</v>
      </c>
      <c r="E19" s="128"/>
      <c r="F19" s="12">
        <v>41827</v>
      </c>
      <c r="G19" s="169"/>
      <c r="H19" s="169"/>
      <c r="I19" s="32">
        <v>13876.95</v>
      </c>
      <c r="J19" s="32">
        <f t="shared" si="0"/>
        <v>11101.560000000001</v>
      </c>
    </row>
    <row r="20" spans="1:10" x14ac:dyDescent="0.2">
      <c r="A20" s="9">
        <v>15</v>
      </c>
      <c r="B20" s="128">
        <v>6633110</v>
      </c>
      <c r="C20" s="128"/>
      <c r="D20" s="137" t="s">
        <v>1113</v>
      </c>
      <c r="E20" s="128"/>
      <c r="F20" s="12">
        <v>42401</v>
      </c>
      <c r="G20" s="169"/>
      <c r="H20" s="169"/>
      <c r="I20" s="32">
        <v>8740.1</v>
      </c>
      <c r="J20" s="32">
        <f t="shared" si="0"/>
        <v>6992.0800000000008</v>
      </c>
    </row>
    <row r="21" spans="1:10" x14ac:dyDescent="0.2">
      <c r="A21" s="9">
        <v>16</v>
      </c>
      <c r="B21" s="128">
        <v>6633382</v>
      </c>
      <c r="C21" s="128"/>
      <c r="D21" s="128">
        <v>6635628</v>
      </c>
      <c r="E21" s="128"/>
      <c r="F21" s="12">
        <v>42424</v>
      </c>
      <c r="G21" s="169"/>
      <c r="H21" s="169"/>
      <c r="I21" s="32">
        <v>329060.90999999997</v>
      </c>
      <c r="J21" s="32">
        <f t="shared" si="0"/>
        <v>263248.728</v>
      </c>
    </row>
    <row r="22" spans="1:10" x14ac:dyDescent="0.2">
      <c r="A22" s="9">
        <v>17</v>
      </c>
      <c r="B22" s="128">
        <v>6633099</v>
      </c>
      <c r="C22" s="128"/>
      <c r="D22" s="128">
        <v>6635598</v>
      </c>
      <c r="E22" s="128"/>
      <c r="F22" s="12">
        <v>42424</v>
      </c>
      <c r="G22" s="169"/>
      <c r="H22" s="169"/>
      <c r="I22" s="32">
        <v>400327.51</v>
      </c>
      <c r="J22" s="32">
        <f t="shared" si="0"/>
        <v>320262.00800000003</v>
      </c>
    </row>
    <row r="23" spans="1:10" x14ac:dyDescent="0.2">
      <c r="A23" s="9">
        <v>18</v>
      </c>
      <c r="B23" s="128">
        <v>6633358</v>
      </c>
      <c r="C23" s="128"/>
      <c r="D23" s="128">
        <v>6635792</v>
      </c>
      <c r="E23" s="128"/>
      <c r="F23" s="12">
        <v>43698</v>
      </c>
      <c r="G23" s="169"/>
      <c r="H23" s="169"/>
      <c r="I23" s="32">
        <v>411696.88</v>
      </c>
      <c r="J23" s="32">
        <f t="shared" si="0"/>
        <v>329357.50400000002</v>
      </c>
    </row>
    <row r="24" spans="1:10" x14ac:dyDescent="0.2">
      <c r="A24" s="9">
        <v>19</v>
      </c>
      <c r="B24" s="128">
        <v>6631002</v>
      </c>
      <c r="C24" s="128"/>
      <c r="D24" s="128">
        <v>6631003</v>
      </c>
      <c r="E24" s="128"/>
      <c r="F24" s="12">
        <v>45139</v>
      </c>
      <c r="G24" s="169"/>
      <c r="H24" s="169"/>
      <c r="I24" s="32">
        <v>408276.16</v>
      </c>
      <c r="J24" s="32">
        <f t="shared" si="0"/>
        <v>326620.92800000001</v>
      </c>
    </row>
    <row r="25" spans="1:10" x14ac:dyDescent="0.2">
      <c r="A25" s="9"/>
      <c r="B25" s="128"/>
      <c r="C25" s="128"/>
      <c r="D25" s="128"/>
      <c r="E25" s="128"/>
      <c r="F25" s="12"/>
      <c r="G25" s="169"/>
      <c r="H25" s="169"/>
      <c r="I25" s="32"/>
      <c r="J25" s="32"/>
    </row>
    <row r="26" spans="1:10" x14ac:dyDescent="0.2">
      <c r="A26" s="13"/>
      <c r="B26" s="13"/>
      <c r="C26" s="13"/>
      <c r="D26" s="13"/>
      <c r="E26" s="13"/>
      <c r="F26" s="13"/>
      <c r="G26" s="13"/>
      <c r="H26" s="13" t="s">
        <v>33</v>
      </c>
      <c r="I26" s="34">
        <f>SUM(I6:I25)</f>
        <v>4284133.1800000006</v>
      </c>
      <c r="J26" s="33">
        <f>SUM(J6:J25)</f>
        <v>3427306.5440000002</v>
      </c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31" t="s">
        <v>34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x14ac:dyDescent="0.2">
      <c r="A29" s="169" t="s">
        <v>23</v>
      </c>
      <c r="B29" s="169" t="s">
        <v>35</v>
      </c>
      <c r="C29" s="169"/>
      <c r="D29" s="169" t="s">
        <v>36</v>
      </c>
      <c r="E29" s="169" t="s">
        <v>37</v>
      </c>
      <c r="F29" s="169"/>
      <c r="G29" s="169" t="s">
        <v>38</v>
      </c>
      <c r="H29" s="169"/>
      <c r="I29" s="169" t="s">
        <v>39</v>
      </c>
      <c r="J29" s="169"/>
    </row>
    <row r="30" spans="1:10" x14ac:dyDescent="0.2">
      <c r="A30" s="169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2">
      <c r="A31" s="9">
        <v>1</v>
      </c>
      <c r="B31" s="183" t="s">
        <v>600</v>
      </c>
      <c r="C31" s="128"/>
      <c r="D31" s="9">
        <v>5125</v>
      </c>
      <c r="E31" s="182">
        <v>35096</v>
      </c>
      <c r="F31" s="128"/>
      <c r="G31" s="128">
        <v>6606001</v>
      </c>
      <c r="H31" s="128"/>
      <c r="I31" s="136">
        <v>43294</v>
      </c>
      <c r="J31" s="136"/>
    </row>
    <row r="32" spans="1:10" x14ac:dyDescent="0.2">
      <c r="A32" s="9">
        <v>2</v>
      </c>
      <c r="B32" s="183" t="s">
        <v>601</v>
      </c>
      <c r="C32" s="128"/>
      <c r="D32" s="9">
        <v>5121</v>
      </c>
      <c r="E32" s="182">
        <v>35096</v>
      </c>
      <c r="F32" s="128"/>
      <c r="G32" s="128">
        <v>6605001</v>
      </c>
      <c r="H32" s="128"/>
      <c r="I32" s="136">
        <v>64602</v>
      </c>
      <c r="J32" s="136"/>
    </row>
    <row r="33" spans="1:10" x14ac:dyDescent="0.2">
      <c r="A33" s="9">
        <v>3</v>
      </c>
      <c r="B33" s="183" t="s">
        <v>602</v>
      </c>
      <c r="C33" s="128"/>
      <c r="D33" s="9">
        <v>11952</v>
      </c>
      <c r="E33" s="182">
        <v>35278</v>
      </c>
      <c r="F33" s="128"/>
      <c r="G33" s="183" t="s">
        <v>603</v>
      </c>
      <c r="H33" s="128"/>
      <c r="I33" s="136">
        <v>84044</v>
      </c>
      <c r="J33" s="136"/>
    </row>
    <row r="34" spans="1:10" x14ac:dyDescent="0.2">
      <c r="A34" s="9">
        <v>4</v>
      </c>
      <c r="B34" s="183" t="s">
        <v>604</v>
      </c>
      <c r="C34" s="128"/>
      <c r="D34" s="9">
        <v>8493</v>
      </c>
      <c r="E34" s="182">
        <v>35855</v>
      </c>
      <c r="F34" s="128"/>
      <c r="G34" s="128">
        <v>6607001</v>
      </c>
      <c r="H34" s="128"/>
      <c r="I34" s="136">
        <v>44409</v>
      </c>
      <c r="J34" s="136"/>
    </row>
    <row r="35" spans="1:10" x14ac:dyDescent="0.2">
      <c r="A35" s="9">
        <v>5</v>
      </c>
      <c r="B35" s="183" t="s">
        <v>605</v>
      </c>
      <c r="C35" s="128"/>
      <c r="D35" s="9">
        <v>14396</v>
      </c>
      <c r="E35" s="182">
        <v>36008</v>
      </c>
      <c r="F35" s="128"/>
      <c r="G35" s="183" t="s">
        <v>606</v>
      </c>
      <c r="H35" s="128"/>
      <c r="I35" s="136">
        <v>23367</v>
      </c>
      <c r="J35" s="136"/>
    </row>
    <row r="36" spans="1:10" x14ac:dyDescent="0.2">
      <c r="A36" s="9">
        <v>6</v>
      </c>
      <c r="B36" s="183" t="s">
        <v>605</v>
      </c>
      <c r="C36" s="128"/>
      <c r="D36" s="9">
        <v>14396</v>
      </c>
      <c r="E36" s="182">
        <v>36008</v>
      </c>
      <c r="F36" s="128"/>
      <c r="G36" s="183" t="s">
        <v>607</v>
      </c>
      <c r="H36" s="128"/>
      <c r="I36" s="136">
        <v>30842</v>
      </c>
      <c r="J36" s="136"/>
    </row>
    <row r="37" spans="1:10" x14ac:dyDescent="0.2">
      <c r="A37" s="9">
        <v>7</v>
      </c>
      <c r="B37" s="183" t="s">
        <v>608</v>
      </c>
      <c r="C37" s="128"/>
      <c r="D37" s="9">
        <v>14048</v>
      </c>
      <c r="E37" s="182">
        <v>35765</v>
      </c>
      <c r="F37" s="128"/>
      <c r="G37" s="183" t="s">
        <v>609</v>
      </c>
      <c r="H37" s="128"/>
      <c r="I37" s="136">
        <v>61724</v>
      </c>
      <c r="J37" s="136"/>
    </row>
    <row r="38" spans="1:10" x14ac:dyDescent="0.2">
      <c r="A38" s="9">
        <v>8</v>
      </c>
      <c r="B38" s="183" t="s">
        <v>610</v>
      </c>
      <c r="C38" s="128"/>
      <c r="D38" s="9">
        <v>14047</v>
      </c>
      <c r="E38" s="182">
        <v>36373</v>
      </c>
      <c r="F38" s="128"/>
      <c r="G38" s="183" t="s">
        <v>611</v>
      </c>
      <c r="H38" s="128"/>
      <c r="I38" s="136">
        <v>61662</v>
      </c>
      <c r="J38" s="136"/>
    </row>
    <row r="39" spans="1:10" x14ac:dyDescent="0.2">
      <c r="A39" s="9">
        <v>9</v>
      </c>
      <c r="B39" s="183" t="s">
        <v>612</v>
      </c>
      <c r="C39" s="128"/>
      <c r="D39" s="9">
        <v>15446</v>
      </c>
      <c r="E39" s="182">
        <v>36373</v>
      </c>
      <c r="F39" s="128"/>
      <c r="G39" s="183" t="s">
        <v>613</v>
      </c>
      <c r="H39" s="128"/>
      <c r="I39" s="136">
        <v>48714</v>
      </c>
      <c r="J39" s="136"/>
    </row>
    <row r="40" spans="1:10" x14ac:dyDescent="0.2">
      <c r="A40" s="9">
        <v>10</v>
      </c>
      <c r="B40" s="183" t="s">
        <v>614</v>
      </c>
      <c r="C40" s="128"/>
      <c r="D40" s="9">
        <v>15445</v>
      </c>
      <c r="E40" s="351">
        <v>36617</v>
      </c>
      <c r="F40" s="128"/>
      <c r="G40" s="183" t="s">
        <v>615</v>
      </c>
      <c r="H40" s="128"/>
      <c r="I40" s="136">
        <v>56203</v>
      </c>
      <c r="J40" s="136"/>
    </row>
    <row r="41" spans="1:10" x14ac:dyDescent="0.2">
      <c r="A41" s="9">
        <v>11</v>
      </c>
      <c r="B41" s="128">
        <v>490100</v>
      </c>
      <c r="C41" s="128"/>
      <c r="D41" s="9">
        <v>17149</v>
      </c>
      <c r="E41" s="182">
        <v>38791</v>
      </c>
      <c r="F41" s="128"/>
      <c r="G41" s="183" t="s">
        <v>616</v>
      </c>
      <c r="H41" s="128"/>
      <c r="I41" s="136">
        <v>38840</v>
      </c>
      <c r="J41" s="136"/>
    </row>
    <row r="42" spans="1:10" x14ac:dyDescent="0.2">
      <c r="A42" s="9">
        <v>12</v>
      </c>
      <c r="B42" s="183" t="s">
        <v>617</v>
      </c>
      <c r="C42" s="128"/>
      <c r="D42" s="9">
        <v>15448</v>
      </c>
      <c r="E42" s="182">
        <v>36586</v>
      </c>
      <c r="F42" s="128"/>
      <c r="G42" s="183" t="s">
        <v>618</v>
      </c>
      <c r="H42" s="128"/>
      <c r="I42" s="136">
        <v>55684</v>
      </c>
      <c r="J42" s="136"/>
    </row>
    <row r="43" spans="1:10" x14ac:dyDescent="0.2">
      <c r="A43" s="9">
        <v>13</v>
      </c>
      <c r="B43" s="128">
        <v>495159</v>
      </c>
      <c r="C43" s="128"/>
      <c r="D43" s="9">
        <v>78982</v>
      </c>
      <c r="E43" s="182">
        <v>39973</v>
      </c>
      <c r="F43" s="128"/>
      <c r="G43" s="128" t="s">
        <v>619</v>
      </c>
      <c r="H43" s="128"/>
      <c r="I43" s="304">
        <v>30037.49</v>
      </c>
      <c r="J43" s="304"/>
    </row>
    <row r="44" spans="1:10" x14ac:dyDescent="0.2">
      <c r="A44" s="9">
        <v>14</v>
      </c>
      <c r="B44" s="183">
        <v>495162</v>
      </c>
      <c r="C44" s="128"/>
      <c r="D44" s="9">
        <v>78992</v>
      </c>
      <c r="E44" s="182">
        <v>39972</v>
      </c>
      <c r="F44" s="128"/>
      <c r="G44" s="128" t="s">
        <v>620</v>
      </c>
      <c r="H44" s="128"/>
      <c r="I44" s="136">
        <v>55451.73</v>
      </c>
      <c r="J44" s="136"/>
    </row>
    <row r="45" spans="1:10" x14ac:dyDescent="0.2">
      <c r="A45" s="9">
        <v>15</v>
      </c>
      <c r="B45" s="183">
        <v>495077</v>
      </c>
      <c r="C45" s="128"/>
      <c r="D45" s="9">
        <v>77517</v>
      </c>
      <c r="E45" s="182">
        <v>39951</v>
      </c>
      <c r="F45" s="128"/>
      <c r="G45" s="128" t="s">
        <v>621</v>
      </c>
      <c r="H45" s="128"/>
      <c r="I45" s="136">
        <v>8882.01</v>
      </c>
      <c r="J45" s="136"/>
    </row>
    <row r="46" spans="1:10" x14ac:dyDescent="0.2">
      <c r="A46" s="9">
        <v>16</v>
      </c>
      <c r="B46" s="183">
        <v>495163</v>
      </c>
      <c r="C46" s="128"/>
      <c r="D46" s="9">
        <v>78998</v>
      </c>
      <c r="E46" s="182">
        <v>40477</v>
      </c>
      <c r="F46" s="128"/>
      <c r="G46" s="230" t="s">
        <v>1085</v>
      </c>
      <c r="H46" s="128"/>
      <c r="I46" s="136">
        <v>110351.67</v>
      </c>
      <c r="J46" s="136"/>
    </row>
    <row r="47" spans="1:10" x14ac:dyDescent="0.2">
      <c r="A47" s="9">
        <v>17</v>
      </c>
      <c r="B47" s="183">
        <v>495164</v>
      </c>
      <c r="C47" s="128"/>
      <c r="D47" s="9">
        <v>79001</v>
      </c>
      <c r="E47" s="182">
        <v>40477</v>
      </c>
      <c r="F47" s="128"/>
      <c r="G47" s="230" t="s">
        <v>1086</v>
      </c>
      <c r="H47" s="128"/>
      <c r="I47" s="136">
        <v>99681.49</v>
      </c>
      <c r="J47" s="136"/>
    </row>
    <row r="48" spans="1:10" x14ac:dyDescent="0.2">
      <c r="A48" s="9">
        <v>18</v>
      </c>
      <c r="B48" s="183">
        <v>495160</v>
      </c>
      <c r="C48" s="128"/>
      <c r="D48" s="9">
        <v>78983</v>
      </c>
      <c r="E48" s="182">
        <v>40652</v>
      </c>
      <c r="F48" s="128"/>
      <c r="G48" s="230" t="s">
        <v>1087</v>
      </c>
      <c r="H48" s="128"/>
      <c r="I48" s="136">
        <v>70017.91</v>
      </c>
      <c r="J48" s="136"/>
    </row>
    <row r="49" spans="1:10" x14ac:dyDescent="0.2">
      <c r="A49" s="9">
        <v>19</v>
      </c>
      <c r="B49" s="183"/>
      <c r="C49" s="128"/>
      <c r="D49" s="9">
        <v>78991</v>
      </c>
      <c r="E49" s="182">
        <v>40477</v>
      </c>
      <c r="F49" s="128"/>
      <c r="G49" s="128" t="s">
        <v>623</v>
      </c>
      <c r="H49" s="128"/>
      <c r="I49" s="136">
        <v>61668.56</v>
      </c>
      <c r="J49" s="136"/>
    </row>
    <row r="50" spans="1:10" x14ac:dyDescent="0.2">
      <c r="A50" s="9">
        <v>20</v>
      </c>
      <c r="B50" s="197">
        <v>495166</v>
      </c>
      <c r="C50" s="193"/>
      <c r="D50" s="9">
        <v>79003</v>
      </c>
      <c r="E50" s="125">
        <v>40619</v>
      </c>
      <c r="F50" s="127"/>
      <c r="G50" s="192" t="s">
        <v>816</v>
      </c>
      <c r="H50" s="204"/>
      <c r="I50" s="194">
        <v>77543.14</v>
      </c>
      <c r="J50" s="195"/>
    </row>
    <row r="51" spans="1:10" x14ac:dyDescent="0.2">
      <c r="A51" s="19">
        <v>21</v>
      </c>
      <c r="B51" s="197"/>
      <c r="C51" s="193"/>
      <c r="D51" s="9">
        <v>82302</v>
      </c>
      <c r="E51" s="125">
        <v>41171</v>
      </c>
      <c r="F51" s="127"/>
      <c r="G51" s="227" t="s">
        <v>1088</v>
      </c>
      <c r="H51" s="204"/>
      <c r="I51" s="194">
        <v>96170.42</v>
      </c>
      <c r="J51" s="195"/>
    </row>
    <row r="52" spans="1:10" x14ac:dyDescent="0.2">
      <c r="A52" s="19">
        <v>22</v>
      </c>
      <c r="B52" s="164"/>
      <c r="C52" s="165"/>
      <c r="D52" s="19">
        <v>83696</v>
      </c>
      <c r="E52" s="162">
        <v>41171</v>
      </c>
      <c r="F52" s="165"/>
      <c r="G52" s="164" t="s">
        <v>1089</v>
      </c>
      <c r="H52" s="165"/>
      <c r="I52" s="166">
        <v>94443.76</v>
      </c>
      <c r="J52" s="167"/>
    </row>
    <row r="53" spans="1:10" x14ac:dyDescent="0.2">
      <c r="A53" s="19"/>
      <c r="B53" s="160"/>
      <c r="C53" s="347"/>
      <c r="D53" s="19">
        <v>82303</v>
      </c>
      <c r="E53" s="196">
        <v>41177</v>
      </c>
      <c r="F53" s="137"/>
      <c r="G53" s="137" t="s">
        <v>1090</v>
      </c>
      <c r="H53" s="137"/>
      <c r="I53" s="138">
        <v>81747.350000000006</v>
      </c>
      <c r="J53" s="138"/>
    </row>
    <row r="54" spans="1:10" x14ac:dyDescent="0.2">
      <c r="A54" s="19"/>
      <c r="B54" s="197">
        <v>495421</v>
      </c>
      <c r="C54" s="193"/>
      <c r="D54" s="19">
        <v>84456</v>
      </c>
      <c r="E54" s="162">
        <v>41330</v>
      </c>
      <c r="F54" s="165"/>
      <c r="G54" s="164" t="s">
        <v>862</v>
      </c>
      <c r="H54" s="228"/>
      <c r="I54" s="166">
        <v>79361.97</v>
      </c>
      <c r="J54" s="167"/>
    </row>
    <row r="55" spans="1:10" x14ac:dyDescent="0.2">
      <c r="A55" s="19"/>
      <c r="B55" s="160"/>
      <c r="C55" s="161"/>
      <c r="D55" s="19">
        <v>87270</v>
      </c>
      <c r="E55" s="162" t="s">
        <v>1091</v>
      </c>
      <c r="F55" s="163"/>
      <c r="G55" s="164"/>
      <c r="H55" s="165"/>
      <c r="I55" s="166">
        <v>25967.599999999999</v>
      </c>
      <c r="J55" s="167"/>
    </row>
    <row r="56" spans="1:10" x14ac:dyDescent="0.2">
      <c r="A56" s="19"/>
      <c r="B56" s="164"/>
      <c r="C56" s="165"/>
      <c r="D56" s="19">
        <v>82305</v>
      </c>
      <c r="E56" s="162">
        <v>41626</v>
      </c>
      <c r="F56" s="165"/>
      <c r="G56" s="164" t="s">
        <v>845</v>
      </c>
      <c r="H56" s="165"/>
      <c r="I56" s="166">
        <v>188710.16</v>
      </c>
      <c r="J56" s="167"/>
    </row>
    <row r="57" spans="1:10" x14ac:dyDescent="0.2">
      <c r="A57" s="19"/>
      <c r="B57" s="160">
        <v>495393</v>
      </c>
      <c r="C57" s="161"/>
      <c r="D57" s="19">
        <v>83702</v>
      </c>
      <c r="E57" s="162">
        <v>41177</v>
      </c>
      <c r="F57" s="165"/>
      <c r="G57" s="164" t="s">
        <v>951</v>
      </c>
      <c r="H57" s="165"/>
      <c r="I57" s="166">
        <v>96936.93</v>
      </c>
      <c r="J57" s="167"/>
    </row>
    <row r="58" spans="1:10" x14ac:dyDescent="0.2">
      <c r="A58" s="19"/>
      <c r="B58" s="160"/>
      <c r="C58" s="161"/>
      <c r="D58" s="19">
        <v>83699</v>
      </c>
      <c r="E58" s="162">
        <v>41554</v>
      </c>
      <c r="F58" s="163"/>
      <c r="G58" s="164" t="s">
        <v>1083</v>
      </c>
      <c r="H58" s="165"/>
      <c r="I58" s="166">
        <v>147748.82</v>
      </c>
      <c r="J58" s="167"/>
    </row>
    <row r="59" spans="1:10" x14ac:dyDescent="0.2">
      <c r="A59" s="19"/>
      <c r="B59" s="164"/>
      <c r="C59" s="165"/>
      <c r="D59" s="19">
        <v>84918</v>
      </c>
      <c r="E59" s="162">
        <v>41550</v>
      </c>
      <c r="F59" s="165"/>
      <c r="G59" s="164" t="s">
        <v>1084</v>
      </c>
      <c r="H59" s="165"/>
      <c r="I59" s="166">
        <v>193446.18</v>
      </c>
      <c r="J59" s="167"/>
    </row>
    <row r="60" spans="1:10" s="51" customFormat="1" x14ac:dyDescent="0.2">
      <c r="A60" s="19"/>
      <c r="B60" s="164"/>
      <c r="C60" s="165"/>
      <c r="D60" s="19">
        <v>83698</v>
      </c>
      <c r="E60" s="162">
        <v>41935</v>
      </c>
      <c r="F60" s="165"/>
      <c r="G60" s="164" t="s">
        <v>1138</v>
      </c>
      <c r="H60" s="165"/>
      <c r="I60" s="166">
        <v>158794.44</v>
      </c>
      <c r="J60" s="167"/>
    </row>
    <row r="61" spans="1:10" x14ac:dyDescent="0.2">
      <c r="A61" s="19"/>
      <c r="B61" s="164"/>
      <c r="C61" s="165"/>
      <c r="D61" s="19">
        <v>88870</v>
      </c>
      <c r="E61" s="164" t="s">
        <v>912</v>
      </c>
      <c r="F61" s="165"/>
      <c r="G61" s="164"/>
      <c r="H61" s="165"/>
      <c r="I61" s="166">
        <v>4921.2</v>
      </c>
      <c r="J61" s="167"/>
    </row>
    <row r="62" spans="1:10" x14ac:dyDescent="0.2">
      <c r="A62" s="19"/>
      <c r="B62" s="164"/>
      <c r="C62" s="165"/>
      <c r="D62" s="19">
        <v>90189</v>
      </c>
      <c r="E62" s="164" t="s">
        <v>938</v>
      </c>
      <c r="F62" s="165"/>
      <c r="G62" s="164"/>
      <c r="H62" s="165"/>
      <c r="I62" s="166">
        <v>17837.8</v>
      </c>
      <c r="J62" s="167"/>
    </row>
    <row r="63" spans="1:10" x14ac:dyDescent="0.2">
      <c r="A63" s="19"/>
      <c r="B63" s="164"/>
      <c r="C63" s="165"/>
      <c r="D63" s="19">
        <v>92742</v>
      </c>
      <c r="E63" s="164" t="s">
        <v>1009</v>
      </c>
      <c r="F63" s="165"/>
      <c r="G63" s="164"/>
      <c r="H63" s="165"/>
      <c r="I63" s="166">
        <v>29942</v>
      </c>
      <c r="J63" s="167"/>
    </row>
    <row r="64" spans="1:10" x14ac:dyDescent="0.2">
      <c r="A64" s="19"/>
      <c r="B64" s="88"/>
      <c r="C64" s="84"/>
      <c r="D64" s="19">
        <v>89138</v>
      </c>
      <c r="E64" s="162">
        <v>43027</v>
      </c>
      <c r="F64" s="165"/>
      <c r="G64" s="164" t="s">
        <v>1026</v>
      </c>
      <c r="H64" s="165"/>
      <c r="I64" s="166">
        <v>12006.75</v>
      </c>
      <c r="J64" s="167"/>
    </row>
    <row r="65" spans="1:10" x14ac:dyDescent="0.2">
      <c r="A65" s="19"/>
      <c r="B65" s="164"/>
      <c r="C65" s="165"/>
      <c r="D65" s="19">
        <v>89138</v>
      </c>
      <c r="E65" s="164"/>
      <c r="F65" s="165"/>
      <c r="G65" s="164" t="s">
        <v>1199</v>
      </c>
      <c r="H65" s="165"/>
      <c r="I65" s="166">
        <v>56166.91</v>
      </c>
      <c r="J65" s="167"/>
    </row>
    <row r="66" spans="1:10" x14ac:dyDescent="0.2">
      <c r="A66" s="19"/>
      <c r="B66" s="137"/>
      <c r="C66" s="137"/>
      <c r="D66" s="19">
        <v>89136</v>
      </c>
      <c r="E66" s="196">
        <v>43027</v>
      </c>
      <c r="F66" s="137"/>
      <c r="G66" s="137" t="s">
        <v>1041</v>
      </c>
      <c r="H66" s="137"/>
      <c r="I66" s="138">
        <v>8305.23</v>
      </c>
      <c r="J66" s="138"/>
    </row>
    <row r="67" spans="1:10" x14ac:dyDescent="0.2">
      <c r="A67" s="19"/>
      <c r="B67" s="137"/>
      <c r="C67" s="137"/>
      <c r="D67" s="19">
        <v>95402</v>
      </c>
      <c r="E67" s="196">
        <v>42829</v>
      </c>
      <c r="F67" s="137"/>
      <c r="G67" s="137" t="s">
        <v>1060</v>
      </c>
      <c r="H67" s="137"/>
      <c r="I67" s="138">
        <v>167980.52</v>
      </c>
      <c r="J67" s="138"/>
    </row>
    <row r="68" spans="1:10" x14ac:dyDescent="0.2">
      <c r="A68" s="19"/>
      <c r="B68" s="137"/>
      <c r="C68" s="137"/>
      <c r="D68" s="19">
        <v>89135</v>
      </c>
      <c r="E68" s="196">
        <v>42745</v>
      </c>
      <c r="F68" s="137"/>
      <c r="G68" s="137" t="s">
        <v>1064</v>
      </c>
      <c r="H68" s="137"/>
      <c r="I68" s="250">
        <v>115424.56</v>
      </c>
      <c r="J68" s="250"/>
    </row>
    <row r="69" spans="1:10" x14ac:dyDescent="0.2">
      <c r="A69" s="19"/>
      <c r="B69" s="137"/>
      <c r="C69" s="137"/>
      <c r="D69" s="19">
        <v>89137</v>
      </c>
      <c r="E69" s="137"/>
      <c r="F69" s="137"/>
      <c r="G69" s="137" t="s">
        <v>1263</v>
      </c>
      <c r="H69" s="137"/>
      <c r="I69" s="250">
        <v>4663.8100000000004</v>
      </c>
      <c r="J69" s="250"/>
    </row>
    <row r="70" spans="1:10" x14ac:dyDescent="0.2">
      <c r="A70" s="19"/>
      <c r="B70" s="137"/>
      <c r="C70" s="137"/>
      <c r="D70" s="19">
        <v>92080</v>
      </c>
      <c r="E70" s="196">
        <v>43633</v>
      </c>
      <c r="F70" s="137"/>
      <c r="G70" s="137" t="s">
        <v>1183</v>
      </c>
      <c r="H70" s="137"/>
      <c r="I70" s="250">
        <v>309648.58</v>
      </c>
      <c r="J70" s="250"/>
    </row>
    <row r="71" spans="1:10" x14ac:dyDescent="0.2">
      <c r="A71" s="19"/>
      <c r="B71" s="137"/>
      <c r="C71" s="137"/>
      <c r="D71" s="19">
        <v>95879</v>
      </c>
      <c r="E71" s="196">
        <v>43529</v>
      </c>
      <c r="F71" s="137"/>
      <c r="G71" s="137" t="s">
        <v>1150</v>
      </c>
      <c r="H71" s="137"/>
      <c r="I71" s="250">
        <v>180263.04000000001</v>
      </c>
      <c r="J71" s="250"/>
    </row>
    <row r="72" spans="1:10" x14ac:dyDescent="0.2">
      <c r="A72" s="19"/>
      <c r="B72" s="137"/>
      <c r="C72" s="137"/>
      <c r="D72" s="19">
        <v>93982</v>
      </c>
      <c r="E72" s="196">
        <v>42948</v>
      </c>
      <c r="F72" s="137"/>
      <c r="G72" s="137" t="s">
        <v>1149</v>
      </c>
      <c r="H72" s="137"/>
      <c r="I72" s="250">
        <v>77254.77</v>
      </c>
      <c r="J72" s="250"/>
    </row>
    <row r="73" spans="1:10" x14ac:dyDescent="0.2">
      <c r="A73" s="19"/>
      <c r="B73" s="137"/>
      <c r="C73" s="137"/>
      <c r="D73" s="19">
        <v>96779</v>
      </c>
      <c r="E73" s="196">
        <v>43805</v>
      </c>
      <c r="F73" s="137"/>
      <c r="G73" s="137" t="s">
        <v>1188</v>
      </c>
      <c r="H73" s="137"/>
      <c r="I73" s="250">
        <v>66523.039999999994</v>
      </c>
      <c r="J73" s="250"/>
    </row>
    <row r="74" spans="1:10" x14ac:dyDescent="0.2">
      <c r="A74" s="19"/>
      <c r="B74" s="137"/>
      <c r="C74" s="137"/>
      <c r="D74" s="19">
        <v>110036</v>
      </c>
      <c r="E74" s="137"/>
      <c r="F74" s="137"/>
      <c r="G74" s="137" t="s">
        <v>1356</v>
      </c>
      <c r="H74" s="137"/>
      <c r="I74" s="250">
        <v>65475.47</v>
      </c>
      <c r="J74" s="250"/>
    </row>
    <row r="75" spans="1:10" x14ac:dyDescent="0.2">
      <c r="A75" s="19"/>
      <c r="B75" s="137"/>
      <c r="C75" s="137"/>
      <c r="D75" s="19">
        <v>110130</v>
      </c>
      <c r="E75" s="137"/>
      <c r="F75" s="137"/>
      <c r="G75" s="137" t="s">
        <v>1357</v>
      </c>
      <c r="H75" s="137"/>
      <c r="I75" s="250">
        <v>185390.2</v>
      </c>
      <c r="J75" s="250"/>
    </row>
    <row r="76" spans="1:10" x14ac:dyDescent="0.2">
      <c r="A76" s="58"/>
      <c r="B76" s="151"/>
      <c r="C76" s="151"/>
      <c r="D76" s="58">
        <v>116164</v>
      </c>
      <c r="E76" s="151"/>
      <c r="F76" s="151"/>
      <c r="G76" s="151" t="s">
        <v>1495</v>
      </c>
      <c r="H76" s="151"/>
      <c r="I76" s="248">
        <v>81825</v>
      </c>
      <c r="J76" s="248"/>
    </row>
    <row r="77" spans="1:10" x14ac:dyDescent="0.2">
      <c r="A77" s="58"/>
      <c r="B77" s="151"/>
      <c r="C77" s="151"/>
      <c r="D77" s="58">
        <v>115499</v>
      </c>
      <c r="E77" s="151"/>
      <c r="F77" s="151"/>
      <c r="G77" s="151" t="s">
        <v>1480</v>
      </c>
      <c r="H77" s="151"/>
      <c r="I77" s="248">
        <v>208650</v>
      </c>
      <c r="J77" s="248"/>
    </row>
    <row r="78" spans="1:10" x14ac:dyDescent="0.2">
      <c r="A78" s="9"/>
      <c r="B78" s="128"/>
      <c r="C78" s="128"/>
      <c r="D78" s="9"/>
      <c r="E78" s="128"/>
      <c r="F78" s="128"/>
      <c r="G78" s="128"/>
      <c r="H78" s="128"/>
      <c r="I78" s="140"/>
      <c r="J78" s="140"/>
    </row>
    <row r="79" spans="1:10" x14ac:dyDescent="0.2">
      <c r="A79" s="9"/>
      <c r="B79" s="128"/>
      <c r="C79" s="128"/>
      <c r="D79" s="9"/>
      <c r="E79" s="128"/>
      <c r="F79" s="128"/>
      <c r="G79" s="128"/>
      <c r="H79" s="128"/>
      <c r="I79" s="140"/>
      <c r="J79" s="140"/>
    </row>
    <row r="80" spans="1:10" ht="13.5" thickBot="1" x14ac:dyDescent="0.25">
      <c r="A80" s="9"/>
      <c r="B80" s="128"/>
      <c r="C80" s="128"/>
      <c r="D80" s="9"/>
      <c r="E80" s="128"/>
      <c r="F80" s="128"/>
      <c r="G80" s="128"/>
      <c r="H80" s="128"/>
      <c r="I80" s="249"/>
      <c r="J80" s="249"/>
    </row>
    <row r="81" spans="1:10" ht="13.5" thickTop="1" x14ac:dyDescent="0.2">
      <c r="A81" s="13"/>
      <c r="B81" s="13"/>
      <c r="C81" s="13"/>
      <c r="D81" s="13"/>
      <c r="E81" s="13"/>
      <c r="F81" s="13"/>
      <c r="G81" s="13"/>
      <c r="H81" s="13" t="s">
        <v>33</v>
      </c>
      <c r="I81" s="140">
        <f>SUM(I31:J80)</f>
        <v>3882625.5100000007</v>
      </c>
      <c r="J81" s="140"/>
    </row>
    <row r="82" spans="1:10" x14ac:dyDescent="0.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5" x14ac:dyDescent="0.25">
      <c r="A83" s="15" t="s">
        <v>46</v>
      </c>
      <c r="B83" s="16"/>
      <c r="C83" s="16"/>
      <c r="D83" s="16"/>
      <c r="E83" s="16"/>
      <c r="F83" s="16"/>
      <c r="G83" s="16"/>
      <c r="H83" s="16"/>
      <c r="I83" s="149" t="s">
        <v>47</v>
      </c>
      <c r="J83" s="150"/>
    </row>
    <row r="84" spans="1:10" x14ac:dyDescent="0.2">
      <c r="A84" s="144" t="s">
        <v>48</v>
      </c>
      <c r="B84" s="144"/>
      <c r="C84" s="144"/>
      <c r="D84" s="144"/>
      <c r="E84" s="144"/>
      <c r="F84" s="144"/>
      <c r="G84" s="144"/>
      <c r="H84" s="144"/>
      <c r="I84" s="148">
        <f>I26*80%</f>
        <v>3427306.5440000007</v>
      </c>
      <c r="J84" s="148"/>
    </row>
    <row r="85" spans="1:10" x14ac:dyDescent="0.2">
      <c r="A85" s="144" t="s">
        <v>49</v>
      </c>
      <c r="B85" s="144"/>
      <c r="C85" s="144"/>
      <c r="D85" s="144"/>
      <c r="E85" s="144"/>
      <c r="F85" s="144"/>
      <c r="G85" s="144"/>
      <c r="H85" s="144"/>
      <c r="I85" s="184">
        <f>7-15003-53183-21250</f>
        <v>-89429</v>
      </c>
      <c r="J85" s="184"/>
    </row>
    <row r="86" spans="1:10" x14ac:dyDescent="0.2">
      <c r="A86" s="144" t="s">
        <v>833</v>
      </c>
      <c r="B86" s="144"/>
      <c r="C86" s="144"/>
      <c r="D86" s="144"/>
      <c r="E86" s="144"/>
      <c r="F86" s="144"/>
      <c r="G86" s="144"/>
      <c r="H86" s="144"/>
      <c r="I86" s="184">
        <v>166622</v>
      </c>
      <c r="J86" s="184"/>
    </row>
    <row r="87" spans="1:10" x14ac:dyDescent="0.2">
      <c r="A87" s="144" t="s">
        <v>907</v>
      </c>
      <c r="B87" s="144"/>
      <c r="C87" s="144"/>
      <c r="D87" s="144"/>
      <c r="E87" s="144"/>
      <c r="F87" s="144"/>
      <c r="G87" s="144"/>
      <c r="H87" s="144"/>
      <c r="I87" s="184">
        <v>166622</v>
      </c>
      <c r="J87" s="184"/>
    </row>
    <row r="88" spans="1:10" x14ac:dyDescent="0.2">
      <c r="A88" s="258" t="s">
        <v>966</v>
      </c>
      <c r="B88" s="144"/>
      <c r="C88" s="144"/>
      <c r="D88" s="144"/>
      <c r="E88" s="144"/>
      <c r="F88" s="144"/>
      <c r="G88" s="144"/>
      <c r="H88" s="144"/>
      <c r="I88" s="184">
        <v>236736</v>
      </c>
      <c r="J88" s="184"/>
    </row>
    <row r="89" spans="1:10" ht="12.75" customHeight="1" x14ac:dyDescent="0.2">
      <c r="A89" s="231" t="s">
        <v>1028</v>
      </c>
      <c r="B89" s="144"/>
      <c r="C89" s="144"/>
      <c r="D89" s="144"/>
      <c r="E89" s="144"/>
      <c r="F89" s="144"/>
      <c r="G89" s="144"/>
      <c r="H89" s="144"/>
      <c r="I89" s="184">
        <v>50000</v>
      </c>
      <c r="J89" s="184"/>
    </row>
    <row r="90" spans="1:10" ht="12.75" customHeight="1" x14ac:dyDescent="0.2">
      <c r="A90" s="231" t="s">
        <v>1190</v>
      </c>
      <c r="B90" s="144"/>
      <c r="C90" s="144"/>
      <c r="D90" s="144"/>
      <c r="E90" s="144"/>
      <c r="F90" s="144"/>
      <c r="G90" s="144"/>
      <c r="H90" s="144"/>
      <c r="I90" s="184">
        <v>-286736</v>
      </c>
      <c r="J90" s="184"/>
    </row>
    <row r="91" spans="1:10" ht="12.75" customHeight="1" x14ac:dyDescent="0.2">
      <c r="A91" s="258" t="s">
        <v>967</v>
      </c>
      <c r="B91" s="144"/>
      <c r="C91" s="144"/>
      <c r="D91" s="144"/>
      <c r="E91" s="144"/>
      <c r="F91" s="144"/>
      <c r="G91" s="144"/>
      <c r="H91" s="144"/>
      <c r="I91" s="184">
        <v>-66750</v>
      </c>
      <c r="J91" s="184"/>
    </row>
    <row r="92" spans="1:10" ht="12.75" customHeight="1" x14ac:dyDescent="0.2">
      <c r="A92" s="258" t="s">
        <v>968</v>
      </c>
      <c r="B92" s="144"/>
      <c r="C92" s="144"/>
      <c r="D92" s="144"/>
      <c r="E92" s="144"/>
      <c r="F92" s="144"/>
      <c r="G92" s="144"/>
      <c r="H92" s="144"/>
      <c r="I92" s="184">
        <v>-169986</v>
      </c>
      <c r="J92" s="184"/>
    </row>
    <row r="93" spans="1:10" ht="12.75" customHeight="1" x14ac:dyDescent="0.2">
      <c r="A93" s="258" t="s">
        <v>983</v>
      </c>
      <c r="B93" s="144"/>
      <c r="C93" s="144"/>
      <c r="D93" s="144"/>
      <c r="E93" s="144"/>
      <c r="F93" s="144"/>
      <c r="G93" s="144"/>
      <c r="H93" s="144"/>
      <c r="I93" s="184">
        <v>46149</v>
      </c>
      <c r="J93" s="184"/>
    </row>
    <row r="94" spans="1:10" ht="12.75" customHeight="1" x14ac:dyDescent="0.2">
      <c r="A94" s="231" t="s">
        <v>988</v>
      </c>
      <c r="B94" s="144"/>
      <c r="C94" s="144"/>
      <c r="D94" s="144"/>
      <c r="E94" s="144"/>
      <c r="F94" s="144"/>
      <c r="G94" s="144"/>
      <c r="H94" s="144"/>
      <c r="I94" s="184">
        <v>100000</v>
      </c>
      <c r="J94" s="184"/>
    </row>
    <row r="95" spans="1:10" ht="12.75" customHeight="1" x14ac:dyDescent="0.2">
      <c r="A95" s="231" t="s">
        <v>1093</v>
      </c>
      <c r="B95" s="144"/>
      <c r="C95" s="144"/>
      <c r="D95" s="144"/>
      <c r="E95" s="144"/>
      <c r="F95" s="144"/>
      <c r="G95" s="144"/>
      <c r="H95" s="144"/>
      <c r="I95" s="184">
        <v>175000</v>
      </c>
      <c r="J95" s="184"/>
    </row>
    <row r="96" spans="1:10" ht="12.75" customHeight="1" x14ac:dyDescent="0.2">
      <c r="A96" s="231" t="s">
        <v>1095</v>
      </c>
      <c r="B96" s="144"/>
      <c r="C96" s="144"/>
      <c r="D96" s="144"/>
      <c r="E96" s="144"/>
      <c r="F96" s="144"/>
      <c r="G96" s="144"/>
      <c r="H96" s="144"/>
      <c r="I96" s="184">
        <v>175000</v>
      </c>
      <c r="J96" s="184"/>
    </row>
    <row r="97" spans="1:10" ht="12.75" customHeight="1" x14ac:dyDescent="0.2">
      <c r="A97" s="231" t="s">
        <v>1154</v>
      </c>
      <c r="B97" s="144"/>
      <c r="C97" s="144"/>
      <c r="D97" s="144"/>
      <c r="E97" s="144"/>
      <c r="F97" s="144"/>
      <c r="G97" s="144"/>
      <c r="H97" s="144"/>
      <c r="I97" s="184">
        <v>200000</v>
      </c>
      <c r="J97" s="184"/>
    </row>
    <row r="98" spans="1:10" ht="12.75" customHeight="1" x14ac:dyDescent="0.2">
      <c r="A98" s="231" t="s">
        <v>1433</v>
      </c>
      <c r="B98" s="144"/>
      <c r="C98" s="144"/>
      <c r="D98" s="144"/>
      <c r="E98" s="144"/>
      <c r="F98" s="144"/>
      <c r="G98" s="144"/>
      <c r="H98" s="144"/>
      <c r="I98" s="184">
        <v>185390.2</v>
      </c>
      <c r="J98" s="184"/>
    </row>
    <row r="99" spans="1:10" ht="12.75" customHeight="1" x14ac:dyDescent="0.2">
      <c r="A99" s="231"/>
      <c r="B99" s="144"/>
      <c r="C99" s="144"/>
      <c r="D99" s="144"/>
      <c r="E99" s="144"/>
      <c r="F99" s="144"/>
      <c r="G99" s="144"/>
      <c r="H99" s="144"/>
      <c r="I99" s="184"/>
      <c r="J99" s="184"/>
    </row>
    <row r="100" spans="1:10" ht="12.75" customHeight="1" x14ac:dyDescent="0.2">
      <c r="A100" s="231"/>
      <c r="B100" s="144"/>
      <c r="C100" s="144"/>
      <c r="D100" s="144"/>
      <c r="E100" s="144"/>
      <c r="F100" s="144"/>
      <c r="G100" s="144"/>
      <c r="H100" s="144"/>
      <c r="I100" s="184"/>
      <c r="J100" s="184"/>
    </row>
    <row r="101" spans="1:10" ht="12.75" customHeight="1" thickBot="1" x14ac:dyDescent="0.25">
      <c r="A101" s="231" t="s">
        <v>50</v>
      </c>
      <c r="B101" s="231"/>
      <c r="C101" s="231"/>
      <c r="D101" s="231"/>
      <c r="E101" s="231"/>
      <c r="F101" s="231"/>
      <c r="G101" s="231"/>
      <c r="H101" s="231"/>
      <c r="I101" s="348">
        <f>I81</f>
        <v>3882625.5100000007</v>
      </c>
      <c r="J101" s="348"/>
    </row>
    <row r="102" spans="1:10" ht="13.5" thickTop="1" x14ac:dyDescent="0.2">
      <c r="A102" s="60"/>
      <c r="B102" s="60"/>
      <c r="C102" s="60"/>
      <c r="D102" s="60"/>
      <c r="E102" s="60"/>
      <c r="F102" s="60"/>
      <c r="G102" s="60"/>
      <c r="H102" s="61" t="s">
        <v>33</v>
      </c>
      <c r="I102" s="349">
        <f>I84+I85+I86+I87+I88+I89+I90+I91+I92+I93+I94+I95+I96+I97+I98-I101</f>
        <v>433299.23400000017</v>
      </c>
      <c r="J102" s="350"/>
    </row>
    <row r="104" spans="1:10" ht="15" x14ac:dyDescent="0.25">
      <c r="A104" s="131" t="s">
        <v>51</v>
      </c>
      <c r="B104" s="132"/>
      <c r="C104" s="132"/>
      <c r="D104" s="132"/>
      <c r="E104" s="132"/>
      <c r="F104" s="132"/>
      <c r="G104" s="132"/>
      <c r="H104" s="132"/>
      <c r="I104" s="132"/>
      <c r="J104" s="133"/>
    </row>
    <row r="105" spans="1:10" x14ac:dyDescent="0.2">
      <c r="A105" s="139" t="s">
        <v>622</v>
      </c>
      <c r="B105" s="139"/>
      <c r="C105" s="139"/>
      <c r="D105" s="139"/>
      <c r="E105" s="139"/>
      <c r="F105" s="139"/>
      <c r="G105" s="139"/>
      <c r="H105" s="139"/>
      <c r="I105" s="139"/>
      <c r="J105" s="139"/>
    </row>
    <row r="106" spans="1:10" x14ac:dyDescent="0.2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</row>
    <row r="107" spans="1:10" x14ac:dyDescent="0.2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</row>
    <row r="108" spans="1:10" x14ac:dyDescent="0.2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</row>
    <row r="109" spans="1:10" x14ac:dyDescent="0.2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</row>
    <row r="110" spans="1:10" x14ac:dyDescent="0.2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</row>
  </sheetData>
  <mergeCells count="316">
    <mergeCell ref="A87:H87"/>
    <mergeCell ref="B79:C79"/>
    <mergeCell ref="A88:H88"/>
    <mergeCell ref="G80:H80"/>
    <mergeCell ref="I80:J80"/>
    <mergeCell ref="I79:J79"/>
    <mergeCell ref="E80:F80"/>
    <mergeCell ref="I84:J84"/>
    <mergeCell ref="A100:H100"/>
    <mergeCell ref="I100:J100"/>
    <mergeCell ref="I97:J97"/>
    <mergeCell ref="A95:H95"/>
    <mergeCell ref="I95:J95"/>
    <mergeCell ref="A94:H94"/>
    <mergeCell ref="A98:H98"/>
    <mergeCell ref="I98:J98"/>
    <mergeCell ref="A99:H99"/>
    <mergeCell ref="I99:J99"/>
    <mergeCell ref="A96:H96"/>
    <mergeCell ref="A97:H97"/>
    <mergeCell ref="I96:J96"/>
    <mergeCell ref="B78:C78"/>
    <mergeCell ref="E78:F78"/>
    <mergeCell ref="I94:J94"/>
    <mergeCell ref="A91:H91"/>
    <mergeCell ref="G74:H74"/>
    <mergeCell ref="I74:J74"/>
    <mergeCell ref="B75:C75"/>
    <mergeCell ref="E75:F75"/>
    <mergeCell ref="G75:H75"/>
    <mergeCell ref="I75:J75"/>
    <mergeCell ref="I92:J92"/>
    <mergeCell ref="B80:C80"/>
    <mergeCell ref="A86:H86"/>
    <mergeCell ref="A89:H89"/>
    <mergeCell ref="A93:H93"/>
    <mergeCell ref="A85:H85"/>
    <mergeCell ref="A90:H90"/>
    <mergeCell ref="I88:J88"/>
    <mergeCell ref="A84:H84"/>
    <mergeCell ref="A92:H92"/>
    <mergeCell ref="I90:J90"/>
    <mergeCell ref="I91:J91"/>
    <mergeCell ref="I89:J89"/>
    <mergeCell ref="I87:J87"/>
    <mergeCell ref="I72:J72"/>
    <mergeCell ref="E71:F71"/>
    <mergeCell ref="B72:C72"/>
    <mergeCell ref="B73:C73"/>
    <mergeCell ref="I71:J71"/>
    <mergeCell ref="I73:J73"/>
    <mergeCell ref="E73:F73"/>
    <mergeCell ref="B77:C77"/>
    <mergeCell ref="E77:F77"/>
    <mergeCell ref="G77:H77"/>
    <mergeCell ref="I77:J77"/>
    <mergeCell ref="B76:C76"/>
    <mergeCell ref="E76:F76"/>
    <mergeCell ref="G76:H76"/>
    <mergeCell ref="I76:J76"/>
    <mergeCell ref="A3:J3"/>
    <mergeCell ref="A4:A5"/>
    <mergeCell ref="B4:E4"/>
    <mergeCell ref="F4:F5"/>
    <mergeCell ref="G4:H5"/>
    <mergeCell ref="G9:H9"/>
    <mergeCell ref="B10:C10"/>
    <mergeCell ref="D15:E15"/>
    <mergeCell ref="G11:H11"/>
    <mergeCell ref="G7:H7"/>
    <mergeCell ref="G8:H8"/>
    <mergeCell ref="D7:E7"/>
    <mergeCell ref="B7:C7"/>
    <mergeCell ref="B8:C8"/>
    <mergeCell ref="G13:H13"/>
    <mergeCell ref="B11:C11"/>
    <mergeCell ref="B9:C9"/>
    <mergeCell ref="B6:C6"/>
    <mergeCell ref="D5:E5"/>
    <mergeCell ref="J4:J5"/>
    <mergeCell ref="B5:C5"/>
    <mergeCell ref="I4:I5"/>
    <mergeCell ref="D9:E9"/>
    <mergeCell ref="G6:H6"/>
    <mergeCell ref="G16:H16"/>
    <mergeCell ref="G20:H20"/>
    <mergeCell ref="G14:H14"/>
    <mergeCell ref="B17:C17"/>
    <mergeCell ref="D10:E10"/>
    <mergeCell ref="G12:H12"/>
    <mergeCell ref="G10:H10"/>
    <mergeCell ref="D11:E11"/>
    <mergeCell ref="G15:H15"/>
    <mergeCell ref="B15:C15"/>
    <mergeCell ref="D13:E13"/>
    <mergeCell ref="D17:E17"/>
    <mergeCell ref="D20:E20"/>
    <mergeCell ref="D8:E8"/>
    <mergeCell ref="D6:E6"/>
    <mergeCell ref="D12:E12"/>
    <mergeCell ref="B14:C14"/>
    <mergeCell ref="B12:C12"/>
    <mergeCell ref="A29:A30"/>
    <mergeCell ref="B13:C13"/>
    <mergeCell ref="D14:E14"/>
    <mergeCell ref="D21:E21"/>
    <mergeCell ref="B20:C20"/>
    <mergeCell ref="D19:E19"/>
    <mergeCell ref="D18:E18"/>
    <mergeCell ref="E29:F30"/>
    <mergeCell ref="B16:C16"/>
    <mergeCell ref="D16:E16"/>
    <mergeCell ref="A28:J28"/>
    <mergeCell ref="G18:H18"/>
    <mergeCell ref="G22:H22"/>
    <mergeCell ref="D22:E22"/>
    <mergeCell ref="B22:C22"/>
    <mergeCell ref="B18:C18"/>
    <mergeCell ref="G17:H17"/>
    <mergeCell ref="G21:H21"/>
    <mergeCell ref="D24:E24"/>
    <mergeCell ref="D29:D30"/>
    <mergeCell ref="B29:C30"/>
    <mergeCell ref="I34:J34"/>
    <mergeCell ref="G24:H24"/>
    <mergeCell ref="B19:C19"/>
    <mergeCell ref="G19:H19"/>
    <mergeCell ref="G23:H23"/>
    <mergeCell ref="B21:C21"/>
    <mergeCell ref="B34:C34"/>
    <mergeCell ref="B24:C24"/>
    <mergeCell ref="E32:F32"/>
    <mergeCell ref="E31:F31"/>
    <mergeCell ref="B31:C31"/>
    <mergeCell ref="G29:H30"/>
    <mergeCell ref="G31:H31"/>
    <mergeCell ref="B25:C25"/>
    <mergeCell ref="D25:E25"/>
    <mergeCell ref="B23:C23"/>
    <mergeCell ref="D23:E23"/>
    <mergeCell ref="G25:H25"/>
    <mergeCell ref="I31:J31"/>
    <mergeCell ref="I29:J30"/>
    <mergeCell ref="E33:F33"/>
    <mergeCell ref="G32:H32"/>
    <mergeCell ref="I32:J32"/>
    <mergeCell ref="B32:C32"/>
    <mergeCell ref="B33:C33"/>
    <mergeCell ref="E35:F35"/>
    <mergeCell ref="B38:C38"/>
    <mergeCell ref="G39:H39"/>
    <mergeCell ref="B35:C35"/>
    <mergeCell ref="I33:J33"/>
    <mergeCell ref="I36:J36"/>
    <mergeCell ref="I37:J37"/>
    <mergeCell ref="G34:H34"/>
    <mergeCell ref="I39:J39"/>
    <mergeCell ref="I35:J35"/>
    <mergeCell ref="I38:J38"/>
    <mergeCell ref="E34:F34"/>
    <mergeCell ref="G33:H33"/>
    <mergeCell ref="G35:H35"/>
    <mergeCell ref="G38:H38"/>
    <mergeCell ref="E41:F41"/>
    <mergeCell ref="E42:F42"/>
    <mergeCell ref="E39:F39"/>
    <mergeCell ref="E36:F36"/>
    <mergeCell ref="B41:C41"/>
    <mergeCell ref="B40:C40"/>
    <mergeCell ref="E37:F37"/>
    <mergeCell ref="B37:C37"/>
    <mergeCell ref="I40:J40"/>
    <mergeCell ref="G37:H37"/>
    <mergeCell ref="E40:F40"/>
    <mergeCell ref="G40:H40"/>
    <mergeCell ref="G36:H36"/>
    <mergeCell ref="G42:H42"/>
    <mergeCell ref="B39:C39"/>
    <mergeCell ref="E38:F38"/>
    <mergeCell ref="B36:C36"/>
    <mergeCell ref="I69:J69"/>
    <mergeCell ref="I42:J42"/>
    <mergeCell ref="B45:C45"/>
    <mergeCell ref="B43:C43"/>
    <mergeCell ref="I41:J41"/>
    <mergeCell ref="I65:J65"/>
    <mergeCell ref="I66:J66"/>
    <mergeCell ref="B46:C46"/>
    <mergeCell ref="I68:J68"/>
    <mergeCell ref="G67:H67"/>
    <mergeCell ref="G64:H64"/>
    <mergeCell ref="I63:J63"/>
    <mergeCell ref="G63:H63"/>
    <mergeCell ref="B66:C66"/>
    <mergeCell ref="G69:H69"/>
    <mergeCell ref="E65:F65"/>
    <mergeCell ref="E64:F64"/>
    <mergeCell ref="B65:C65"/>
    <mergeCell ref="B63:C63"/>
    <mergeCell ref="E68:F68"/>
    <mergeCell ref="E69:F69"/>
    <mergeCell ref="G66:H66"/>
    <mergeCell ref="E45:F45"/>
    <mergeCell ref="B44:C44"/>
    <mergeCell ref="A104:J104"/>
    <mergeCell ref="G79:H79"/>
    <mergeCell ref="E79:F79"/>
    <mergeCell ref="G73:H73"/>
    <mergeCell ref="I93:J93"/>
    <mergeCell ref="I48:J48"/>
    <mergeCell ref="I53:J53"/>
    <mergeCell ref="I54:J54"/>
    <mergeCell ref="I58:J58"/>
    <mergeCell ref="B67:C67"/>
    <mergeCell ref="G57:H57"/>
    <mergeCell ref="I70:J70"/>
    <mergeCell ref="G78:H78"/>
    <mergeCell ref="I78:J78"/>
    <mergeCell ref="G72:H72"/>
    <mergeCell ref="E72:F72"/>
    <mergeCell ref="B71:C71"/>
    <mergeCell ref="E70:F70"/>
    <mergeCell ref="G68:H68"/>
    <mergeCell ref="B74:C74"/>
    <mergeCell ref="E74:F74"/>
    <mergeCell ref="B69:C69"/>
    <mergeCell ref="E62:F62"/>
    <mergeCell ref="G49:H49"/>
    <mergeCell ref="I43:J43"/>
    <mergeCell ref="I49:J49"/>
    <mergeCell ref="I47:J47"/>
    <mergeCell ref="I51:J51"/>
    <mergeCell ref="I44:J44"/>
    <mergeCell ref="I46:J46"/>
    <mergeCell ref="I45:J45"/>
    <mergeCell ref="A105:J110"/>
    <mergeCell ref="A101:H101"/>
    <mergeCell ref="I101:J101"/>
    <mergeCell ref="I102:J102"/>
    <mergeCell ref="I81:J81"/>
    <mergeCell ref="E67:F67"/>
    <mergeCell ref="E66:F66"/>
    <mergeCell ref="B70:C70"/>
    <mergeCell ref="B68:C68"/>
    <mergeCell ref="G61:H61"/>
    <mergeCell ref="I86:J86"/>
    <mergeCell ref="I85:J85"/>
    <mergeCell ref="G70:H70"/>
    <mergeCell ref="G71:H71"/>
    <mergeCell ref="I83:J83"/>
    <mergeCell ref="I67:J67"/>
    <mergeCell ref="G62:H62"/>
    <mergeCell ref="G47:H47"/>
    <mergeCell ref="G46:H46"/>
    <mergeCell ref="E48:F48"/>
    <mergeCell ref="I64:J64"/>
    <mergeCell ref="E46:F46"/>
    <mergeCell ref="E50:F50"/>
    <mergeCell ref="G48:H48"/>
    <mergeCell ref="G53:H53"/>
    <mergeCell ref="G50:H50"/>
    <mergeCell ref="E47:F47"/>
    <mergeCell ref="G56:H56"/>
    <mergeCell ref="G58:H58"/>
    <mergeCell ref="I50:J50"/>
    <mergeCell ref="I56:J56"/>
    <mergeCell ref="I55:J55"/>
    <mergeCell ref="I57:J57"/>
    <mergeCell ref="I61:J61"/>
    <mergeCell ref="G54:H54"/>
    <mergeCell ref="B55:C55"/>
    <mergeCell ref="B52:C52"/>
    <mergeCell ref="E55:F55"/>
    <mergeCell ref="G65:H65"/>
    <mergeCell ref="I62:J62"/>
    <mergeCell ref="E51:F51"/>
    <mergeCell ref="E53:F53"/>
    <mergeCell ref="I60:J60"/>
    <mergeCell ref="I52:J52"/>
    <mergeCell ref="G52:H52"/>
    <mergeCell ref="I59:J59"/>
    <mergeCell ref="B57:C57"/>
    <mergeCell ref="E59:F59"/>
    <mergeCell ref="B60:C60"/>
    <mergeCell ref="B62:C62"/>
    <mergeCell ref="E63:F63"/>
    <mergeCell ref="G60:H60"/>
    <mergeCell ref="G59:H59"/>
    <mergeCell ref="E58:F58"/>
    <mergeCell ref="E61:F61"/>
    <mergeCell ref="B59:C59"/>
    <mergeCell ref="B61:C61"/>
    <mergeCell ref="B50:C50"/>
    <mergeCell ref="B56:C56"/>
    <mergeCell ref="E60:F60"/>
    <mergeCell ref="E56:F56"/>
    <mergeCell ref="B48:C48"/>
    <mergeCell ref="G45:H45"/>
    <mergeCell ref="G43:H43"/>
    <mergeCell ref="G41:H41"/>
    <mergeCell ref="E43:F43"/>
    <mergeCell ref="B47:C47"/>
    <mergeCell ref="G44:H44"/>
    <mergeCell ref="B51:C51"/>
    <mergeCell ref="B54:C54"/>
    <mergeCell ref="B53:C53"/>
    <mergeCell ref="B42:C42"/>
    <mergeCell ref="E44:F44"/>
    <mergeCell ref="B49:C49"/>
    <mergeCell ref="E57:F57"/>
    <mergeCell ref="E49:F49"/>
    <mergeCell ref="G55:H55"/>
    <mergeCell ref="E52:F52"/>
    <mergeCell ref="E54:F54"/>
    <mergeCell ref="G51:H51"/>
    <mergeCell ref="B58:C58"/>
  </mergeCells>
  <phoneticPr fontId="6" type="noConversion"/>
  <pageMargins left="0.75" right="0.75" top="1" bottom="1" header="0.5" footer="0.5"/>
  <pageSetup scale="4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7">
    <pageSetUpPr fitToPage="1"/>
  </sheetPr>
  <dimension ref="A1:J46"/>
  <sheetViews>
    <sheetView topLeftCell="A13" workbookViewId="0">
      <selection activeCell="A36" sqref="A36:H36"/>
    </sheetView>
  </sheetViews>
  <sheetFormatPr defaultRowHeight="12.75" x14ac:dyDescent="0.2"/>
  <cols>
    <col min="6" max="6" width="14.85546875" customWidth="1"/>
    <col min="7" max="7" width="11.5703125" customWidth="1"/>
    <col min="8" max="8" width="12" customWidth="1"/>
    <col min="9" max="9" width="12.42578125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624</v>
      </c>
      <c r="B2" s="6"/>
      <c r="C2" s="6"/>
      <c r="D2" s="6"/>
      <c r="E2" s="6"/>
      <c r="F2" s="6"/>
      <c r="G2" s="6"/>
      <c r="H2" s="6"/>
      <c r="I2" s="6"/>
      <c r="J2" s="7" t="s">
        <v>100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2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233"/>
    </row>
    <row r="6" spans="1:10" x14ac:dyDescent="0.2">
      <c r="A6" s="9">
        <v>1</v>
      </c>
      <c r="B6" s="128">
        <v>6735290</v>
      </c>
      <c r="C6" s="128"/>
      <c r="D6" s="128">
        <v>6735347</v>
      </c>
      <c r="E6" s="128"/>
      <c r="F6" s="12">
        <v>41226</v>
      </c>
      <c r="G6" s="169"/>
      <c r="H6" s="169"/>
      <c r="I6" s="69">
        <v>854569.99</v>
      </c>
      <c r="J6" s="64">
        <f>I6*0.8</f>
        <v>683655.99200000009</v>
      </c>
    </row>
    <row r="7" spans="1:10" x14ac:dyDescent="0.2">
      <c r="A7" s="9">
        <v>2</v>
      </c>
      <c r="B7" s="128">
        <v>6734103</v>
      </c>
      <c r="C7" s="128"/>
      <c r="D7" s="128">
        <v>6734081</v>
      </c>
      <c r="E7" s="128"/>
      <c r="F7" s="12">
        <v>41528</v>
      </c>
      <c r="G7" s="169"/>
      <c r="H7" s="169"/>
      <c r="I7" s="69">
        <v>577774.6</v>
      </c>
      <c r="J7" s="64">
        <f>I7*0.8</f>
        <v>462219.68</v>
      </c>
    </row>
    <row r="8" spans="1:10" x14ac:dyDescent="0.2">
      <c r="A8" s="9">
        <v>3</v>
      </c>
      <c r="B8" s="128">
        <v>6735940</v>
      </c>
      <c r="C8" s="128"/>
      <c r="D8" s="128">
        <v>6735959</v>
      </c>
      <c r="E8" s="128"/>
      <c r="F8" s="12">
        <v>42317</v>
      </c>
      <c r="G8" s="169"/>
      <c r="H8" s="169"/>
      <c r="I8" s="69">
        <v>525256.5</v>
      </c>
      <c r="J8" s="64">
        <f>I8*0.8</f>
        <v>420205.2</v>
      </c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69"/>
      <c r="J9" s="64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69"/>
      <c r="J10" s="64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69"/>
      <c r="J11" s="64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69"/>
      <c r="J12" s="64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71"/>
      <c r="J13" s="65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81">
        <f>SUM(I6:I13)</f>
        <v>1957601.0899999999</v>
      </c>
      <c r="J14" s="66">
        <f>SUM(J6:J13)</f>
        <v>1566080.872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 t="s">
        <v>625</v>
      </c>
      <c r="C19" s="128"/>
      <c r="D19" s="10">
        <v>9793</v>
      </c>
      <c r="E19" s="182">
        <v>38399</v>
      </c>
      <c r="F19" s="128"/>
      <c r="G19" s="128">
        <v>6714001</v>
      </c>
      <c r="H19" s="128"/>
      <c r="I19" s="136">
        <f>232292-2114</f>
        <v>230178</v>
      </c>
      <c r="J19" s="136"/>
    </row>
    <row r="20" spans="1:10" x14ac:dyDescent="0.2">
      <c r="A20" s="19">
        <v>2</v>
      </c>
      <c r="B20" s="137">
        <v>440587</v>
      </c>
      <c r="C20" s="137"/>
      <c r="D20" s="19">
        <v>88372</v>
      </c>
      <c r="E20" s="196">
        <v>42773</v>
      </c>
      <c r="F20" s="137"/>
      <c r="G20" s="137" t="s">
        <v>1036</v>
      </c>
      <c r="H20" s="137"/>
      <c r="I20" s="138">
        <v>118290.79</v>
      </c>
      <c r="J20" s="138"/>
    </row>
    <row r="21" spans="1:10" x14ac:dyDescent="0.2">
      <c r="A21" s="19">
        <v>3</v>
      </c>
      <c r="B21" s="137"/>
      <c r="C21" s="137"/>
      <c r="D21" s="19">
        <v>88357</v>
      </c>
      <c r="E21" s="196">
        <v>42989</v>
      </c>
      <c r="F21" s="137"/>
      <c r="G21" s="137" t="s">
        <v>1037</v>
      </c>
      <c r="H21" s="137"/>
      <c r="I21" s="138">
        <v>144879.96</v>
      </c>
      <c r="J21" s="138"/>
    </row>
    <row r="22" spans="1:10" x14ac:dyDescent="0.2">
      <c r="A22" s="19">
        <v>4</v>
      </c>
      <c r="B22" s="137"/>
      <c r="C22" s="137"/>
      <c r="D22" s="19">
        <v>93391</v>
      </c>
      <c r="E22" s="196">
        <v>42775</v>
      </c>
      <c r="F22" s="137"/>
      <c r="G22" s="137" t="s">
        <v>1038</v>
      </c>
      <c r="H22" s="137"/>
      <c r="I22" s="138">
        <v>101549.82</v>
      </c>
      <c r="J22" s="138"/>
    </row>
    <row r="23" spans="1:10" x14ac:dyDescent="0.2">
      <c r="A23" s="19">
        <v>5</v>
      </c>
      <c r="B23" s="137">
        <v>441063</v>
      </c>
      <c r="C23" s="137"/>
      <c r="D23" s="19">
        <v>93894</v>
      </c>
      <c r="E23" s="196">
        <v>42359</v>
      </c>
      <c r="F23" s="137"/>
      <c r="G23" s="137" t="s">
        <v>1039</v>
      </c>
      <c r="H23" s="137"/>
      <c r="I23" s="138">
        <v>84308.08</v>
      </c>
      <c r="J23" s="138"/>
    </row>
    <row r="24" spans="1:10" x14ac:dyDescent="0.2">
      <c r="A24" s="19">
        <v>6</v>
      </c>
      <c r="B24" s="137"/>
      <c r="C24" s="137"/>
      <c r="D24" s="19">
        <v>95376</v>
      </c>
      <c r="E24" s="196">
        <v>46915</v>
      </c>
      <c r="F24" s="137"/>
      <c r="G24" s="137" t="s">
        <v>1078</v>
      </c>
      <c r="H24" s="137"/>
      <c r="I24" s="138">
        <v>154294.01999999999</v>
      </c>
      <c r="J24" s="138"/>
    </row>
    <row r="25" spans="1:10" x14ac:dyDescent="0.2">
      <c r="A25" s="19">
        <v>7</v>
      </c>
      <c r="B25" s="137"/>
      <c r="C25" s="137"/>
      <c r="D25" s="19">
        <v>101973</v>
      </c>
      <c r="E25" s="196">
        <v>43570</v>
      </c>
      <c r="F25" s="137"/>
      <c r="G25" s="137" t="s">
        <v>1123</v>
      </c>
      <c r="H25" s="137"/>
      <c r="I25" s="138">
        <v>149730</v>
      </c>
      <c r="J25" s="138"/>
    </row>
    <row r="26" spans="1:10" x14ac:dyDescent="0.2">
      <c r="A26" s="19">
        <v>8</v>
      </c>
      <c r="B26" s="137"/>
      <c r="C26" s="137"/>
      <c r="D26" s="19">
        <v>105550</v>
      </c>
      <c r="E26" s="137"/>
      <c r="F26" s="137"/>
      <c r="G26" s="137" t="s">
        <v>1222</v>
      </c>
      <c r="H26" s="137"/>
      <c r="I26" s="138">
        <v>118757.7</v>
      </c>
      <c r="J26" s="138"/>
    </row>
    <row r="27" spans="1:10" x14ac:dyDescent="0.2">
      <c r="A27" s="58"/>
      <c r="B27" s="151"/>
      <c r="C27" s="151"/>
      <c r="D27" s="58"/>
      <c r="E27" s="151"/>
      <c r="F27" s="151"/>
      <c r="G27" s="151" t="s">
        <v>1350</v>
      </c>
      <c r="H27" s="151"/>
      <c r="I27" s="152">
        <v>160800</v>
      </c>
      <c r="J27" s="152"/>
    </row>
    <row r="28" spans="1:10" x14ac:dyDescent="0.2">
      <c r="A28" s="58"/>
      <c r="B28" s="151"/>
      <c r="C28" s="151"/>
      <c r="D28" s="58"/>
      <c r="E28" s="151"/>
      <c r="F28" s="151"/>
      <c r="G28" s="151" t="s">
        <v>1416</v>
      </c>
      <c r="H28" s="151"/>
      <c r="I28" s="152">
        <v>182550</v>
      </c>
      <c r="J28" s="152"/>
    </row>
    <row r="29" spans="1:10" x14ac:dyDescent="0.2">
      <c r="A29" s="58"/>
      <c r="B29" s="151"/>
      <c r="C29" s="151"/>
      <c r="D29" s="58">
        <v>118361</v>
      </c>
      <c r="E29" s="151"/>
      <c r="F29" s="151"/>
      <c r="G29" s="151" t="s">
        <v>1478</v>
      </c>
      <c r="H29" s="151"/>
      <c r="I29" s="152">
        <v>178200</v>
      </c>
      <c r="J29" s="152"/>
    </row>
    <row r="30" spans="1:10" x14ac:dyDescent="0.2">
      <c r="A30" s="9"/>
      <c r="B30" s="128"/>
      <c r="C30" s="128"/>
      <c r="D30" s="9"/>
      <c r="E30" s="128"/>
      <c r="F30" s="128"/>
      <c r="G30" s="128"/>
      <c r="H30" s="128"/>
      <c r="I30" s="136"/>
      <c r="J30" s="136"/>
    </row>
    <row r="31" spans="1:10" ht="13.5" thickBot="1" x14ac:dyDescent="0.25">
      <c r="A31" s="9"/>
      <c r="B31" s="128"/>
      <c r="C31" s="128"/>
      <c r="D31" s="9"/>
      <c r="E31" s="128"/>
      <c r="F31" s="128"/>
      <c r="G31" s="128"/>
      <c r="H31" s="128"/>
      <c r="I31" s="226"/>
      <c r="J31" s="226"/>
    </row>
    <row r="32" spans="1:10" ht="13.5" thickTop="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140">
        <f>SUM(I19:J31)</f>
        <v>1623538.37</v>
      </c>
      <c r="J32" s="140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5" t="s">
        <v>46</v>
      </c>
      <c r="B34" s="16"/>
      <c r="C34" s="16"/>
      <c r="D34" s="16"/>
      <c r="E34" s="16"/>
      <c r="F34" s="16"/>
      <c r="G34" s="16"/>
      <c r="H34" s="16"/>
      <c r="I34" s="149" t="s">
        <v>47</v>
      </c>
      <c r="J34" s="150"/>
    </row>
    <row r="35" spans="1:10" x14ac:dyDescent="0.2">
      <c r="A35" s="144" t="s">
        <v>48</v>
      </c>
      <c r="B35" s="144"/>
      <c r="C35" s="144"/>
      <c r="D35" s="144"/>
      <c r="E35" s="144"/>
      <c r="F35" s="144"/>
      <c r="G35" s="144"/>
      <c r="H35" s="144"/>
      <c r="I35" s="148">
        <f>I14*80%</f>
        <v>1566080.872</v>
      </c>
      <c r="J35" s="148"/>
    </row>
    <row r="36" spans="1:10" x14ac:dyDescent="0.2">
      <c r="A36" s="144" t="s">
        <v>626</v>
      </c>
      <c r="B36" s="144"/>
      <c r="C36" s="144"/>
      <c r="D36" s="144"/>
      <c r="E36" s="144"/>
      <c r="F36" s="144"/>
      <c r="G36" s="144"/>
      <c r="H36" s="144"/>
      <c r="I36" s="184">
        <v>230178</v>
      </c>
      <c r="J36" s="184"/>
    </row>
    <row r="37" spans="1:10" ht="13.5" thickBot="1" x14ac:dyDescent="0.25">
      <c r="A37" s="144" t="s">
        <v>50</v>
      </c>
      <c r="B37" s="144"/>
      <c r="C37" s="144"/>
      <c r="D37" s="144"/>
      <c r="E37" s="144"/>
      <c r="F37" s="144"/>
      <c r="G37" s="144"/>
      <c r="H37" s="144"/>
      <c r="I37" s="145">
        <f>I32</f>
        <v>1623538.37</v>
      </c>
      <c r="J37" s="145"/>
    </row>
    <row r="38" spans="1:10" ht="13.5" thickTop="1" x14ac:dyDescent="0.2">
      <c r="H38" s="18" t="s">
        <v>33</v>
      </c>
      <c r="I38" s="129">
        <f>I35+I36-I37</f>
        <v>172720.50199999986</v>
      </c>
      <c r="J38" s="130"/>
    </row>
    <row r="40" spans="1:10" ht="15" x14ac:dyDescent="0.25">
      <c r="A40" s="131" t="s">
        <v>51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</sheetData>
  <mergeCells count="103"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11:C11"/>
    <mergeCell ref="D11:E11"/>
    <mergeCell ref="G11:H11"/>
    <mergeCell ref="B10:C10"/>
    <mergeCell ref="D10:E10"/>
    <mergeCell ref="G10:H10"/>
    <mergeCell ref="B13:C13"/>
    <mergeCell ref="D13:E13"/>
    <mergeCell ref="G13:H13"/>
    <mergeCell ref="B12:C12"/>
    <mergeCell ref="D12:E12"/>
    <mergeCell ref="G12:H12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19:C19"/>
    <mergeCell ref="E19:F19"/>
    <mergeCell ref="G19:H19"/>
    <mergeCell ref="I19:J19"/>
    <mergeCell ref="B22:C22"/>
    <mergeCell ref="E22:F22"/>
    <mergeCell ref="G22:H22"/>
    <mergeCell ref="I22:J22"/>
    <mergeCell ref="B21:C21"/>
    <mergeCell ref="E21:F21"/>
    <mergeCell ref="G21:H21"/>
    <mergeCell ref="I21:J21"/>
    <mergeCell ref="B23:C23"/>
    <mergeCell ref="E23:F23"/>
    <mergeCell ref="G23:H23"/>
    <mergeCell ref="I23:J23"/>
    <mergeCell ref="B24:C24"/>
    <mergeCell ref="E24:F24"/>
    <mergeCell ref="G24:H24"/>
    <mergeCell ref="I24:J24"/>
    <mergeCell ref="I30:J30"/>
    <mergeCell ref="B26:C26"/>
    <mergeCell ref="E26:F26"/>
    <mergeCell ref="G26:H26"/>
    <mergeCell ref="I26:J26"/>
    <mergeCell ref="B25:C25"/>
    <mergeCell ref="E25:F25"/>
    <mergeCell ref="G25:H25"/>
    <mergeCell ref="I25:J25"/>
    <mergeCell ref="B29:C29"/>
    <mergeCell ref="E29:F29"/>
    <mergeCell ref="G29:H29"/>
    <mergeCell ref="A41:J46"/>
    <mergeCell ref="A36:H36"/>
    <mergeCell ref="I36:J36"/>
    <mergeCell ref="A37:H37"/>
    <mergeCell ref="I37:J37"/>
    <mergeCell ref="I32:J32"/>
    <mergeCell ref="I34:J34"/>
    <mergeCell ref="A35:H35"/>
    <mergeCell ref="I35:J35"/>
    <mergeCell ref="I38:J38"/>
    <mergeCell ref="A40:J40"/>
    <mergeCell ref="B31:C31"/>
    <mergeCell ref="E31:F31"/>
    <mergeCell ref="G31:H31"/>
    <mergeCell ref="I31:J31"/>
    <mergeCell ref="G27:H27"/>
    <mergeCell ref="I27:J27"/>
    <mergeCell ref="B30:C30"/>
    <mergeCell ref="E30:F30"/>
    <mergeCell ref="G30:H30"/>
    <mergeCell ref="B28:C28"/>
    <mergeCell ref="E28:F28"/>
    <mergeCell ref="G28:H28"/>
    <mergeCell ref="I28:J28"/>
    <mergeCell ref="B27:C27"/>
    <mergeCell ref="E27:F27"/>
    <mergeCell ref="I29:J29"/>
  </mergeCells>
  <phoneticPr fontId="6" type="noConversion"/>
  <pageMargins left="0.75" right="0.75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42"/>
  <sheetViews>
    <sheetView topLeftCell="A4" workbookViewId="0">
      <selection activeCell="A32" sqref="A32:H32"/>
    </sheetView>
  </sheetViews>
  <sheetFormatPr defaultRowHeight="12.75" x14ac:dyDescent="0.2"/>
  <cols>
    <col min="6" max="6" width="16.42578125" bestFit="1" customWidth="1"/>
    <col min="9" max="9" width="13.140625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147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2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233"/>
    </row>
    <row r="6" spans="1:11" x14ac:dyDescent="0.2">
      <c r="A6" s="9">
        <v>1</v>
      </c>
      <c r="B6" s="183" t="s">
        <v>149</v>
      </c>
      <c r="C6" s="128"/>
      <c r="D6" s="183" t="s">
        <v>150</v>
      </c>
      <c r="E6" s="128"/>
      <c r="F6" s="12">
        <v>34092</v>
      </c>
      <c r="G6" s="169" t="s">
        <v>151</v>
      </c>
      <c r="H6" s="169"/>
      <c r="I6" s="39">
        <v>266155.40000000002</v>
      </c>
      <c r="J6" s="32">
        <f t="shared" ref="J6:J11" si="0">I6*0.8</f>
        <v>212924.32000000004</v>
      </c>
    </row>
    <row r="7" spans="1:11" x14ac:dyDescent="0.2">
      <c r="A7" s="9">
        <v>2</v>
      </c>
      <c r="B7" s="183" t="s">
        <v>152</v>
      </c>
      <c r="C7" s="128"/>
      <c r="D7" s="183" t="s">
        <v>153</v>
      </c>
      <c r="E7" s="128"/>
      <c r="F7" s="12">
        <v>34459</v>
      </c>
      <c r="G7" s="169" t="s">
        <v>154</v>
      </c>
      <c r="H7" s="169"/>
      <c r="I7" s="39">
        <v>95725.8</v>
      </c>
      <c r="J7" s="32">
        <f t="shared" si="0"/>
        <v>76580.639999999999</v>
      </c>
    </row>
    <row r="8" spans="1:11" x14ac:dyDescent="0.2">
      <c r="A8" s="9">
        <v>3</v>
      </c>
      <c r="B8" s="183" t="s">
        <v>155</v>
      </c>
      <c r="C8" s="128"/>
      <c r="D8" s="183" t="s">
        <v>156</v>
      </c>
      <c r="E8" s="128"/>
      <c r="F8" s="12">
        <v>34654</v>
      </c>
      <c r="G8" s="169" t="s">
        <v>157</v>
      </c>
      <c r="H8" s="169"/>
      <c r="I8" s="39">
        <v>95305.8</v>
      </c>
      <c r="J8" s="32">
        <f t="shared" si="0"/>
        <v>76244.639999999999</v>
      </c>
    </row>
    <row r="9" spans="1:11" x14ac:dyDescent="0.2">
      <c r="A9" s="9">
        <v>4</v>
      </c>
      <c r="B9" s="183" t="s">
        <v>158</v>
      </c>
      <c r="C9" s="128"/>
      <c r="D9" s="183" t="s">
        <v>159</v>
      </c>
      <c r="E9" s="128"/>
      <c r="F9" s="12">
        <v>35565</v>
      </c>
      <c r="G9" s="169" t="s">
        <v>160</v>
      </c>
      <c r="H9" s="169"/>
      <c r="I9" s="39">
        <v>304324.01</v>
      </c>
      <c r="J9" s="32">
        <f t="shared" si="0"/>
        <v>243459.20800000001</v>
      </c>
      <c r="K9" s="107"/>
    </row>
    <row r="10" spans="1:11" x14ac:dyDescent="0.2">
      <c r="A10" s="9">
        <v>5</v>
      </c>
      <c r="B10" s="183" t="s">
        <v>1491</v>
      </c>
      <c r="C10" s="128"/>
      <c r="D10" s="137" t="s">
        <v>1113</v>
      </c>
      <c r="E10" s="128"/>
      <c r="F10" s="12">
        <v>41827</v>
      </c>
      <c r="G10" s="169"/>
      <c r="H10" s="169"/>
      <c r="I10" s="39">
        <v>132734.39000000001</v>
      </c>
      <c r="J10" s="32">
        <f t="shared" si="0"/>
        <v>106187.51200000002</v>
      </c>
    </row>
    <row r="11" spans="1:11" x14ac:dyDescent="0.2">
      <c r="A11" s="9">
        <v>6</v>
      </c>
      <c r="B11" s="183" t="s">
        <v>1490</v>
      </c>
      <c r="C11" s="128"/>
      <c r="D11" s="128" t="s">
        <v>1113</v>
      </c>
      <c r="E11" s="128"/>
      <c r="F11" s="12">
        <v>44518</v>
      </c>
      <c r="G11" s="169" t="s">
        <v>1492</v>
      </c>
      <c r="H11" s="169"/>
      <c r="I11" s="39">
        <v>142194.35999999999</v>
      </c>
      <c r="J11" s="32">
        <f t="shared" si="0"/>
        <v>113755.488</v>
      </c>
    </row>
    <row r="12" spans="1:11" x14ac:dyDescent="0.2">
      <c r="A12" s="9"/>
      <c r="B12" s="128"/>
      <c r="C12" s="128"/>
      <c r="D12" s="128"/>
      <c r="E12" s="128"/>
      <c r="F12" s="12"/>
      <c r="G12" s="169"/>
      <c r="H12" s="169"/>
      <c r="I12" s="39"/>
      <c r="J12" s="32"/>
    </row>
    <row r="13" spans="1:11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41"/>
      <c r="J13" s="55"/>
    </row>
    <row r="14" spans="1:11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43">
        <f>SUM(I6:I13)</f>
        <v>1036439.76</v>
      </c>
      <c r="J14" s="78">
        <f>SUM(J6:J13)</f>
        <v>829151.80800000008</v>
      </c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 t="s">
        <v>161</v>
      </c>
      <c r="C19" s="128"/>
      <c r="D19" s="9">
        <v>4462</v>
      </c>
      <c r="E19" s="182">
        <v>36586</v>
      </c>
      <c r="F19" s="128"/>
      <c r="G19" s="128">
        <v>610001</v>
      </c>
      <c r="H19" s="128"/>
      <c r="I19" s="136">
        <v>131787</v>
      </c>
      <c r="J19" s="136"/>
    </row>
    <row r="20" spans="1:10" x14ac:dyDescent="0.2">
      <c r="A20" s="9">
        <v>2</v>
      </c>
      <c r="B20" s="128"/>
      <c r="C20" s="128"/>
      <c r="D20" s="9">
        <v>81135</v>
      </c>
      <c r="E20" s="182">
        <v>40491</v>
      </c>
      <c r="F20" s="128"/>
      <c r="G20" s="128" t="s">
        <v>162</v>
      </c>
      <c r="H20" s="128"/>
      <c r="I20" s="136">
        <v>350474.46</v>
      </c>
      <c r="J20" s="136"/>
    </row>
    <row r="21" spans="1:10" x14ac:dyDescent="0.2">
      <c r="A21" s="19">
        <v>3</v>
      </c>
      <c r="B21" s="137"/>
      <c r="C21" s="137"/>
      <c r="D21" s="19">
        <v>87078</v>
      </c>
      <c r="E21" s="137">
        <v>2016</v>
      </c>
      <c r="F21" s="137"/>
      <c r="G21" s="137" t="s">
        <v>827</v>
      </c>
      <c r="H21" s="137"/>
      <c r="I21" s="138">
        <v>78535.570000000007</v>
      </c>
      <c r="J21" s="138"/>
    </row>
    <row r="22" spans="1:10" x14ac:dyDescent="0.2">
      <c r="A22" s="9">
        <v>4</v>
      </c>
      <c r="B22" s="128"/>
      <c r="C22" s="128"/>
      <c r="D22" s="9">
        <v>102334</v>
      </c>
      <c r="E22" s="128"/>
      <c r="F22" s="128"/>
      <c r="G22" s="128" t="s">
        <v>1162</v>
      </c>
      <c r="H22" s="128"/>
      <c r="I22" s="136">
        <v>137145.35</v>
      </c>
      <c r="J22" s="136"/>
    </row>
    <row r="23" spans="1:10" x14ac:dyDescent="0.2">
      <c r="A23" s="9"/>
      <c r="B23" s="128"/>
      <c r="C23" s="128"/>
      <c r="D23" s="9"/>
      <c r="E23" s="128"/>
      <c r="F23" s="128"/>
      <c r="G23" s="128"/>
      <c r="H23" s="128"/>
      <c r="I23" s="136"/>
      <c r="J23" s="136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136"/>
      <c r="J24" s="136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0" ht="13.5" thickBot="1" x14ac:dyDescent="0.25">
      <c r="A26" s="9"/>
      <c r="B26" s="128"/>
      <c r="C26" s="128"/>
      <c r="D26" s="9"/>
      <c r="E26" s="128"/>
      <c r="F26" s="128"/>
      <c r="G26" s="128"/>
      <c r="H26" s="128"/>
      <c r="I26" s="226"/>
      <c r="J26" s="226"/>
    </row>
    <row r="27" spans="1:10" ht="13.5" thickTop="1" x14ac:dyDescent="0.2">
      <c r="A27" s="13"/>
      <c r="B27" s="13"/>
      <c r="C27" s="13"/>
      <c r="D27" s="13"/>
      <c r="E27" s="13"/>
      <c r="F27" s="13"/>
      <c r="G27" s="13"/>
      <c r="H27" s="13" t="s">
        <v>33</v>
      </c>
      <c r="I27" s="140">
        <f>SUM(I19:J26)</f>
        <v>697942.38</v>
      </c>
      <c r="J27" s="140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49" t="s">
        <v>47</v>
      </c>
      <c r="J29" s="150"/>
    </row>
    <row r="30" spans="1:10" x14ac:dyDescent="0.2">
      <c r="A30" s="144" t="s">
        <v>48</v>
      </c>
      <c r="B30" s="144"/>
      <c r="C30" s="144"/>
      <c r="D30" s="144"/>
      <c r="E30" s="144"/>
      <c r="F30" s="144"/>
      <c r="G30" s="144"/>
      <c r="H30" s="144"/>
      <c r="I30" s="148">
        <f>I14*80%</f>
        <v>829151.80800000008</v>
      </c>
      <c r="J30" s="148"/>
    </row>
    <row r="31" spans="1:10" x14ac:dyDescent="0.2">
      <c r="A31" s="144" t="s">
        <v>49</v>
      </c>
      <c r="B31" s="144"/>
      <c r="C31" s="144"/>
      <c r="D31" s="144"/>
      <c r="E31" s="144"/>
      <c r="F31" s="144"/>
      <c r="G31" s="144"/>
      <c r="H31" s="144"/>
      <c r="I31" s="184">
        <v>-13777</v>
      </c>
      <c r="J31" s="184"/>
    </row>
    <row r="32" spans="1:10" x14ac:dyDescent="0.2">
      <c r="A32" s="134" t="s">
        <v>1291</v>
      </c>
      <c r="B32" s="134"/>
      <c r="C32" s="134"/>
      <c r="D32" s="134"/>
      <c r="E32" s="134"/>
      <c r="F32" s="134"/>
      <c r="G32" s="134"/>
      <c r="H32" s="134"/>
      <c r="I32" s="135">
        <v>-41174.6</v>
      </c>
      <c r="J32" s="135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145">
        <f>I27</f>
        <v>697942.38</v>
      </c>
      <c r="J33" s="145"/>
    </row>
    <row r="34" spans="1:10" ht="13.5" thickTop="1" x14ac:dyDescent="0.2">
      <c r="H34" s="18" t="s">
        <v>33</v>
      </c>
      <c r="I34" s="129">
        <f>I30+I31+I32-I33</f>
        <v>76257.828000000096</v>
      </c>
      <c r="J34" s="130"/>
    </row>
    <row r="35" spans="1:10" x14ac:dyDescent="0.2">
      <c r="I35" s="60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85">
    <mergeCell ref="E25:F25"/>
    <mergeCell ref="G25:H25"/>
    <mergeCell ref="I25:J25"/>
    <mergeCell ref="B22:C22"/>
    <mergeCell ref="E22:F22"/>
    <mergeCell ref="G22:H22"/>
    <mergeCell ref="I22:J22"/>
    <mergeCell ref="B23:C23"/>
    <mergeCell ref="E23:F23"/>
    <mergeCell ref="G23:H23"/>
    <mergeCell ref="I23:J23"/>
    <mergeCell ref="A36:J36"/>
    <mergeCell ref="I30:J30"/>
    <mergeCell ref="B26:C26"/>
    <mergeCell ref="E26:F26"/>
    <mergeCell ref="G26:H26"/>
    <mergeCell ref="A32:H32"/>
    <mergeCell ref="I32:J32"/>
    <mergeCell ref="I34:J34"/>
    <mergeCell ref="A37:J42"/>
    <mergeCell ref="I4:I5"/>
    <mergeCell ref="J4:J5"/>
    <mergeCell ref="A31:H31"/>
    <mergeCell ref="I31:J31"/>
    <mergeCell ref="A33:H33"/>
    <mergeCell ref="I33:J33"/>
    <mergeCell ref="I27:J27"/>
    <mergeCell ref="I29:J29"/>
    <mergeCell ref="A30:H30"/>
    <mergeCell ref="I26:J26"/>
    <mergeCell ref="B24:C24"/>
    <mergeCell ref="E24:F24"/>
    <mergeCell ref="G24:H24"/>
    <mergeCell ref="I24:J24"/>
    <mergeCell ref="B25:C25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G6:H6"/>
    <mergeCell ref="B9:C9"/>
    <mergeCell ref="D9:E9"/>
    <mergeCell ref="G9:H9"/>
    <mergeCell ref="B8:C8"/>
    <mergeCell ref="D8:E8"/>
    <mergeCell ref="G8:H8"/>
    <mergeCell ref="B21:C21"/>
    <mergeCell ref="E21:F21"/>
    <mergeCell ref="G21:H21"/>
    <mergeCell ref="I21:J21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G7:H7"/>
    <mergeCell ref="B6:C6"/>
    <mergeCell ref="D6:E6"/>
  </mergeCells>
  <phoneticPr fontId="6" type="noConversion"/>
  <pageMargins left="0.75" right="0.75" top="1" bottom="1" header="0.5" footer="0.5"/>
  <pageSetup scale="88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8">
    <pageSetUpPr fitToPage="1"/>
  </sheetPr>
  <dimension ref="A1:K77"/>
  <sheetViews>
    <sheetView topLeftCell="A43" workbookViewId="0">
      <selection activeCell="I67" sqref="I67:J67"/>
    </sheetView>
  </sheetViews>
  <sheetFormatPr defaultRowHeight="12.75" x14ac:dyDescent="0.2"/>
  <cols>
    <col min="6" max="6" width="11" customWidth="1"/>
    <col min="8" max="8" width="12.5703125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627</v>
      </c>
      <c r="B2" s="6"/>
      <c r="C2" s="6"/>
      <c r="D2" s="6"/>
      <c r="E2" s="6"/>
      <c r="F2" s="6"/>
      <c r="G2" s="6"/>
      <c r="H2" s="6"/>
      <c r="I2" s="6"/>
      <c r="J2" s="7" t="s">
        <v>185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1" x14ac:dyDescent="0.2">
      <c r="A6" s="9">
        <v>1</v>
      </c>
      <c r="B6" s="128">
        <v>6831053</v>
      </c>
      <c r="C6" s="128"/>
      <c r="D6" s="128">
        <v>6830153</v>
      </c>
      <c r="E6" s="128"/>
      <c r="F6" s="12">
        <v>34969</v>
      </c>
      <c r="G6" s="169" t="s">
        <v>628</v>
      </c>
      <c r="H6" s="169"/>
      <c r="I6" s="32">
        <v>63000</v>
      </c>
      <c r="J6" s="32">
        <f t="shared" ref="J6:J33" si="0">I6*0.8</f>
        <v>50400</v>
      </c>
    </row>
    <row r="7" spans="1:11" x14ac:dyDescent="0.2">
      <c r="A7" s="9">
        <v>2</v>
      </c>
      <c r="B7" s="128">
        <v>6830455</v>
      </c>
      <c r="C7" s="128"/>
      <c r="D7" s="128">
        <v>6830498</v>
      </c>
      <c r="E7" s="128"/>
      <c r="F7" s="12">
        <v>34969</v>
      </c>
      <c r="G7" s="169" t="s">
        <v>629</v>
      </c>
      <c r="H7" s="169"/>
      <c r="I7" s="32">
        <v>172517.25</v>
      </c>
      <c r="J7" s="32">
        <f t="shared" si="0"/>
        <v>138013.80000000002</v>
      </c>
    </row>
    <row r="8" spans="1:11" x14ac:dyDescent="0.2">
      <c r="A8" s="9">
        <v>3</v>
      </c>
      <c r="B8" s="128">
        <v>6835694</v>
      </c>
      <c r="C8" s="128"/>
      <c r="D8" s="128">
        <v>6835694</v>
      </c>
      <c r="E8" s="128"/>
      <c r="F8" s="12">
        <v>35565</v>
      </c>
      <c r="G8" s="169" t="s">
        <v>630</v>
      </c>
      <c r="H8" s="169"/>
      <c r="I8" s="32">
        <v>292327.26</v>
      </c>
      <c r="J8" s="32">
        <f t="shared" si="0"/>
        <v>233861.80800000002</v>
      </c>
      <c r="K8" s="107"/>
    </row>
    <row r="9" spans="1:11" x14ac:dyDescent="0.2">
      <c r="A9" s="9">
        <v>4</v>
      </c>
      <c r="B9" s="128">
        <v>6831672</v>
      </c>
      <c r="C9" s="128"/>
      <c r="D9" s="128">
        <v>6832121</v>
      </c>
      <c r="E9" s="128"/>
      <c r="F9" s="12">
        <v>39799</v>
      </c>
      <c r="G9" s="169"/>
      <c r="H9" s="169"/>
      <c r="I9" s="32">
        <v>474631.19</v>
      </c>
      <c r="J9" s="32">
        <f t="shared" si="0"/>
        <v>379704.95200000005</v>
      </c>
    </row>
    <row r="10" spans="1:11" x14ac:dyDescent="0.2">
      <c r="A10" s="9">
        <v>5</v>
      </c>
      <c r="B10" s="128">
        <v>6835627</v>
      </c>
      <c r="C10" s="128"/>
      <c r="D10" s="128"/>
      <c r="E10" s="128"/>
      <c r="F10" s="12">
        <v>40792</v>
      </c>
      <c r="G10" s="169"/>
      <c r="H10" s="169"/>
      <c r="I10" s="32">
        <v>62119.95</v>
      </c>
      <c r="J10" s="32">
        <f t="shared" si="0"/>
        <v>49695.96</v>
      </c>
    </row>
    <row r="11" spans="1:11" x14ac:dyDescent="0.2">
      <c r="A11" s="9">
        <v>6</v>
      </c>
      <c r="B11" s="128">
        <v>6832482</v>
      </c>
      <c r="C11" s="128"/>
      <c r="D11" s="128"/>
      <c r="E11" s="128"/>
      <c r="F11" s="12">
        <v>40793</v>
      </c>
      <c r="G11" s="169"/>
      <c r="H11" s="169"/>
      <c r="I11" s="32">
        <v>53374.48</v>
      </c>
      <c r="J11" s="32">
        <f t="shared" si="0"/>
        <v>42699.584000000003</v>
      </c>
    </row>
    <row r="12" spans="1:11" x14ac:dyDescent="0.2">
      <c r="A12" s="9">
        <v>7</v>
      </c>
      <c r="B12" s="128">
        <v>6834043</v>
      </c>
      <c r="C12" s="128"/>
      <c r="D12" s="128">
        <v>6834256</v>
      </c>
      <c r="E12" s="128"/>
      <c r="F12" s="12">
        <v>40799</v>
      </c>
      <c r="G12" s="169"/>
      <c r="H12" s="169"/>
      <c r="I12" s="32">
        <v>75996.41</v>
      </c>
      <c r="J12" s="32">
        <f t="shared" si="0"/>
        <v>60797.128000000004</v>
      </c>
    </row>
    <row r="13" spans="1:11" x14ac:dyDescent="0.2">
      <c r="A13" s="9">
        <v>8</v>
      </c>
      <c r="B13" s="128">
        <v>6838154</v>
      </c>
      <c r="C13" s="128"/>
      <c r="D13" s="128">
        <v>6838545</v>
      </c>
      <c r="E13" s="128"/>
      <c r="F13" s="12">
        <v>40869</v>
      </c>
      <c r="G13" s="169"/>
      <c r="H13" s="169"/>
      <c r="I13" s="32">
        <v>131600.26</v>
      </c>
      <c r="J13" s="32">
        <f t="shared" si="0"/>
        <v>105280.20800000001</v>
      </c>
    </row>
    <row r="14" spans="1:11" x14ac:dyDescent="0.2">
      <c r="A14" s="9">
        <v>9</v>
      </c>
      <c r="B14" s="128">
        <v>6830021</v>
      </c>
      <c r="C14" s="128"/>
      <c r="D14" s="128">
        <v>6835104</v>
      </c>
      <c r="E14" s="128"/>
      <c r="F14" s="12">
        <v>41221</v>
      </c>
      <c r="G14" s="169"/>
      <c r="H14" s="169"/>
      <c r="I14" s="32">
        <v>46013.48</v>
      </c>
      <c r="J14" s="32">
        <f t="shared" si="0"/>
        <v>36810.784000000007</v>
      </c>
    </row>
    <row r="15" spans="1:11" x14ac:dyDescent="0.2">
      <c r="A15" s="9">
        <v>10</v>
      </c>
      <c r="B15" s="128">
        <v>6830048</v>
      </c>
      <c r="C15" s="128"/>
      <c r="D15" s="128">
        <v>6835090</v>
      </c>
      <c r="E15" s="128"/>
      <c r="F15" s="12">
        <v>41221</v>
      </c>
      <c r="G15" s="169"/>
      <c r="H15" s="169"/>
      <c r="I15" s="32">
        <v>50184.3</v>
      </c>
      <c r="J15" s="32">
        <f t="shared" si="0"/>
        <v>40147.440000000002</v>
      </c>
    </row>
    <row r="16" spans="1:11" x14ac:dyDescent="0.2">
      <c r="A16" s="9">
        <v>11</v>
      </c>
      <c r="B16" s="128">
        <v>6830013</v>
      </c>
      <c r="C16" s="128"/>
      <c r="D16" s="128">
        <v>6835112</v>
      </c>
      <c r="E16" s="128"/>
      <c r="F16" s="12">
        <v>41528</v>
      </c>
      <c r="G16" s="169"/>
      <c r="H16" s="169"/>
      <c r="I16" s="32">
        <v>72463.91</v>
      </c>
      <c r="J16" s="32">
        <f t="shared" si="0"/>
        <v>57971.128000000004</v>
      </c>
    </row>
    <row r="17" spans="1:10" x14ac:dyDescent="0.2">
      <c r="A17" s="9">
        <v>12</v>
      </c>
      <c r="B17" s="128">
        <v>6833853</v>
      </c>
      <c r="C17" s="128"/>
      <c r="D17" s="128">
        <v>6834264</v>
      </c>
      <c r="E17" s="128"/>
      <c r="F17" s="12">
        <v>41528</v>
      </c>
      <c r="G17" s="169"/>
      <c r="H17" s="169"/>
      <c r="I17" s="32">
        <v>55430.38</v>
      </c>
      <c r="J17" s="32">
        <f t="shared" si="0"/>
        <v>44344.304000000004</v>
      </c>
    </row>
    <row r="18" spans="1:10" x14ac:dyDescent="0.2">
      <c r="A18" s="9">
        <v>13</v>
      </c>
      <c r="B18" s="128">
        <v>6830463</v>
      </c>
      <c r="C18" s="128"/>
      <c r="D18" s="128">
        <v>6840558</v>
      </c>
      <c r="E18" s="128"/>
      <c r="F18" s="12">
        <v>41528</v>
      </c>
      <c r="G18" s="169"/>
      <c r="H18" s="169"/>
      <c r="I18" s="32">
        <v>50886.43</v>
      </c>
      <c r="J18" s="32">
        <f t="shared" si="0"/>
        <v>40709.144</v>
      </c>
    </row>
    <row r="19" spans="1:10" x14ac:dyDescent="0.2">
      <c r="A19" s="9">
        <v>14</v>
      </c>
      <c r="B19" s="128">
        <v>6830056</v>
      </c>
      <c r="C19" s="128"/>
      <c r="D19" s="128">
        <v>6835120</v>
      </c>
      <c r="E19" s="128"/>
      <c r="F19" s="12">
        <v>41752</v>
      </c>
      <c r="G19" s="169"/>
      <c r="H19" s="169"/>
      <c r="I19" s="32">
        <v>64544.03</v>
      </c>
      <c r="J19" s="32">
        <f t="shared" si="0"/>
        <v>51635.224000000002</v>
      </c>
    </row>
    <row r="20" spans="1:10" x14ac:dyDescent="0.2">
      <c r="A20" s="9">
        <v>15</v>
      </c>
      <c r="B20" s="128">
        <v>6833365</v>
      </c>
      <c r="C20" s="128"/>
      <c r="D20" s="230" t="s">
        <v>1113</v>
      </c>
      <c r="E20" s="128"/>
      <c r="F20" s="12">
        <v>41827</v>
      </c>
      <c r="G20" s="169"/>
      <c r="H20" s="169"/>
      <c r="I20" s="32">
        <v>120643.95</v>
      </c>
      <c r="J20" s="32">
        <f t="shared" si="0"/>
        <v>96515.16</v>
      </c>
    </row>
    <row r="21" spans="1:10" x14ac:dyDescent="0.2">
      <c r="A21" s="9">
        <v>16</v>
      </c>
      <c r="B21" s="128">
        <v>6834078</v>
      </c>
      <c r="C21" s="128"/>
      <c r="D21" s="128">
        <v>6834280</v>
      </c>
      <c r="E21" s="128"/>
      <c r="F21" s="12">
        <v>41827</v>
      </c>
      <c r="G21" s="169"/>
      <c r="H21" s="169"/>
      <c r="I21" s="32">
        <v>69237.25</v>
      </c>
      <c r="J21" s="32">
        <f t="shared" si="0"/>
        <v>55389.8</v>
      </c>
    </row>
    <row r="22" spans="1:10" x14ac:dyDescent="0.2">
      <c r="A22" s="9">
        <v>17</v>
      </c>
      <c r="B22" s="128">
        <v>6841422</v>
      </c>
      <c r="C22" s="128"/>
      <c r="D22" s="128">
        <v>6841767</v>
      </c>
      <c r="E22" s="128"/>
      <c r="F22" s="12">
        <v>41827</v>
      </c>
      <c r="G22" s="169"/>
      <c r="H22" s="169"/>
      <c r="I22" s="32">
        <v>88392.25</v>
      </c>
      <c r="J22" s="32">
        <f t="shared" si="0"/>
        <v>70713.8</v>
      </c>
    </row>
    <row r="23" spans="1:10" x14ac:dyDescent="0.2">
      <c r="A23" s="9">
        <v>18</v>
      </c>
      <c r="B23" s="128">
        <v>6836208</v>
      </c>
      <c r="C23" s="128"/>
      <c r="D23" s="128">
        <v>6836623</v>
      </c>
      <c r="E23" s="128"/>
      <c r="F23" s="12">
        <v>41859</v>
      </c>
      <c r="G23" s="169"/>
      <c r="H23" s="169"/>
      <c r="I23" s="32">
        <v>75220.88</v>
      </c>
      <c r="J23" s="32">
        <f t="shared" si="0"/>
        <v>60176.704000000005</v>
      </c>
    </row>
    <row r="24" spans="1:10" x14ac:dyDescent="0.2">
      <c r="A24" s="9">
        <v>19</v>
      </c>
      <c r="B24" s="128">
        <v>6833799</v>
      </c>
      <c r="C24" s="128"/>
      <c r="D24" s="128">
        <v>6830003</v>
      </c>
      <c r="E24" s="128"/>
      <c r="F24" s="12">
        <v>42100</v>
      </c>
      <c r="G24" s="169"/>
      <c r="H24" s="169"/>
      <c r="I24" s="32">
        <v>53888.09</v>
      </c>
      <c r="J24" s="32">
        <f t="shared" si="0"/>
        <v>43110.472000000002</v>
      </c>
    </row>
    <row r="25" spans="1:10" x14ac:dyDescent="0.2">
      <c r="A25" s="9">
        <v>20</v>
      </c>
      <c r="B25" s="128">
        <v>6830471</v>
      </c>
      <c r="C25" s="128"/>
      <c r="D25" s="230" t="s">
        <v>1113</v>
      </c>
      <c r="E25" s="128"/>
      <c r="F25" s="12">
        <v>42145</v>
      </c>
      <c r="G25" s="169"/>
      <c r="H25" s="169"/>
      <c r="I25" s="32">
        <v>55797.58</v>
      </c>
      <c r="J25" s="32">
        <f t="shared" si="0"/>
        <v>44638.064000000006</v>
      </c>
    </row>
    <row r="26" spans="1:10" x14ac:dyDescent="0.2">
      <c r="A26" s="9">
        <v>21</v>
      </c>
      <c r="B26" s="128">
        <v>6836321</v>
      </c>
      <c r="C26" s="128"/>
      <c r="D26" s="128">
        <v>6836322</v>
      </c>
      <c r="E26" s="128"/>
      <c r="F26" s="12">
        <v>42401</v>
      </c>
      <c r="G26" s="169"/>
      <c r="H26" s="169"/>
      <c r="I26" s="32">
        <v>177589.76000000001</v>
      </c>
      <c r="J26" s="32">
        <f t="shared" si="0"/>
        <v>142071.80800000002</v>
      </c>
    </row>
    <row r="27" spans="1:10" x14ac:dyDescent="0.2">
      <c r="A27" s="9">
        <v>22</v>
      </c>
      <c r="B27" s="128">
        <v>6830315</v>
      </c>
      <c r="C27" s="128"/>
      <c r="D27" s="128">
        <v>6830316</v>
      </c>
      <c r="E27" s="128"/>
      <c r="F27" s="12">
        <v>42401</v>
      </c>
      <c r="G27" s="169"/>
      <c r="H27" s="169"/>
      <c r="I27" s="32">
        <v>160719.85999999999</v>
      </c>
      <c r="J27" s="32">
        <f t="shared" si="0"/>
        <v>128575.88799999999</v>
      </c>
    </row>
    <row r="28" spans="1:10" x14ac:dyDescent="0.2">
      <c r="A28" s="9">
        <v>23</v>
      </c>
      <c r="B28" s="128">
        <v>6832474</v>
      </c>
      <c r="C28" s="128"/>
      <c r="D28" s="128">
        <v>6832475</v>
      </c>
      <c r="E28" s="128"/>
      <c r="F28" s="12">
        <v>43249</v>
      </c>
      <c r="G28" s="169"/>
      <c r="H28" s="169"/>
      <c r="I28" s="32">
        <v>96137.600000000006</v>
      </c>
      <c r="J28" s="32">
        <f t="shared" si="0"/>
        <v>76910.080000000002</v>
      </c>
    </row>
    <row r="29" spans="1:10" x14ac:dyDescent="0.2">
      <c r="A29" s="9">
        <v>24</v>
      </c>
      <c r="B29" s="128">
        <v>6832512</v>
      </c>
      <c r="C29" s="128"/>
      <c r="D29" s="128">
        <v>6832709</v>
      </c>
      <c r="E29" s="128"/>
      <c r="F29" s="12">
        <v>43249</v>
      </c>
      <c r="G29" s="169"/>
      <c r="H29" s="169"/>
      <c r="I29" s="32">
        <v>70108.23</v>
      </c>
      <c r="J29" s="32">
        <f t="shared" si="0"/>
        <v>56086.584000000003</v>
      </c>
    </row>
    <row r="30" spans="1:10" x14ac:dyDescent="0.2">
      <c r="A30" s="9">
        <v>25</v>
      </c>
      <c r="B30" s="128">
        <v>6840248</v>
      </c>
      <c r="C30" s="128"/>
      <c r="D30" s="137" t="s">
        <v>1113</v>
      </c>
      <c r="E30" s="128"/>
      <c r="F30" s="12">
        <v>43249</v>
      </c>
      <c r="G30" s="169"/>
      <c r="H30" s="169"/>
      <c r="I30" s="32">
        <v>158622.6</v>
      </c>
      <c r="J30" s="32">
        <f t="shared" si="0"/>
        <v>126898.08000000002</v>
      </c>
    </row>
    <row r="31" spans="1:10" x14ac:dyDescent="0.2">
      <c r="A31" s="9">
        <v>26</v>
      </c>
      <c r="B31" s="128">
        <v>6840337</v>
      </c>
      <c r="C31" s="128"/>
      <c r="D31" s="128">
        <v>6830002</v>
      </c>
      <c r="E31" s="128"/>
      <c r="F31" s="12">
        <v>43525</v>
      </c>
      <c r="G31" s="169"/>
      <c r="H31" s="169"/>
      <c r="I31" s="32">
        <v>63789.56</v>
      </c>
      <c r="J31" s="32">
        <f t="shared" si="0"/>
        <v>51031.648000000001</v>
      </c>
    </row>
    <row r="32" spans="1:10" x14ac:dyDescent="0.2">
      <c r="A32" s="9">
        <v>27</v>
      </c>
      <c r="B32" s="128">
        <v>6841376</v>
      </c>
      <c r="C32" s="128"/>
      <c r="D32" s="128">
        <v>6841377</v>
      </c>
      <c r="E32" s="128"/>
      <c r="F32" s="12">
        <v>43836</v>
      </c>
      <c r="G32" s="169"/>
      <c r="H32" s="169"/>
      <c r="I32" s="32">
        <v>103999.86</v>
      </c>
      <c r="J32" s="32">
        <f t="shared" si="0"/>
        <v>83199.888000000006</v>
      </c>
    </row>
    <row r="33" spans="1:10" x14ac:dyDescent="0.2">
      <c r="A33" s="9">
        <v>28</v>
      </c>
      <c r="B33" s="128">
        <v>6838375</v>
      </c>
      <c r="C33" s="128"/>
      <c r="D33" s="128">
        <v>6838376</v>
      </c>
      <c r="E33" s="128"/>
      <c r="F33" s="12">
        <v>43836</v>
      </c>
      <c r="G33" s="169"/>
      <c r="H33" s="169"/>
      <c r="I33" s="32">
        <v>162894.78</v>
      </c>
      <c r="J33" s="32">
        <f t="shared" si="0"/>
        <v>130315.82400000001</v>
      </c>
    </row>
    <row r="34" spans="1:10" x14ac:dyDescent="0.2">
      <c r="A34" s="9"/>
      <c r="B34" s="128"/>
      <c r="C34" s="128"/>
      <c r="D34" s="128"/>
      <c r="E34" s="128"/>
      <c r="F34" s="12"/>
      <c r="G34" s="169"/>
      <c r="H34" s="169"/>
      <c r="I34" s="32"/>
      <c r="J34" s="32"/>
    </row>
    <row r="35" spans="1:10" x14ac:dyDescent="0.2">
      <c r="A35" s="9"/>
      <c r="B35" s="128"/>
      <c r="C35" s="128"/>
      <c r="D35" s="128"/>
      <c r="E35" s="128"/>
      <c r="F35" s="12"/>
      <c r="G35" s="169"/>
      <c r="H35" s="169"/>
      <c r="I35" s="32"/>
      <c r="J35" s="32"/>
    </row>
    <row r="36" spans="1:10" x14ac:dyDescent="0.2">
      <c r="A36" s="9"/>
      <c r="B36" s="128"/>
      <c r="C36" s="128"/>
      <c r="D36" s="128"/>
      <c r="E36" s="128"/>
      <c r="F36" s="12"/>
      <c r="G36" s="169"/>
      <c r="H36" s="169"/>
      <c r="I36" s="32"/>
      <c r="J36" s="32"/>
    </row>
    <row r="37" spans="1:10" x14ac:dyDescent="0.2">
      <c r="A37" s="13"/>
      <c r="B37" s="13"/>
      <c r="C37" s="13"/>
      <c r="D37" s="13"/>
      <c r="E37" s="13"/>
      <c r="F37" s="13"/>
      <c r="G37" s="13"/>
      <c r="H37" s="13" t="s">
        <v>33</v>
      </c>
      <c r="I37" s="33">
        <f>SUM(I6:I36)</f>
        <v>3122131.5799999996</v>
      </c>
      <c r="J37" s="33">
        <f>SUM(J6:J36)</f>
        <v>2497705.264</v>
      </c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131" t="s">
        <v>34</v>
      </c>
      <c r="B39" s="132"/>
      <c r="C39" s="132"/>
      <c r="D39" s="132"/>
      <c r="E39" s="132"/>
      <c r="F39" s="132"/>
      <c r="G39" s="132"/>
      <c r="H39" s="132"/>
      <c r="I39" s="132"/>
      <c r="J39" s="133"/>
    </row>
    <row r="40" spans="1:10" x14ac:dyDescent="0.2">
      <c r="A40" s="169" t="s">
        <v>23</v>
      </c>
      <c r="B40" s="169" t="s">
        <v>35</v>
      </c>
      <c r="C40" s="169"/>
      <c r="D40" s="169" t="s">
        <v>36</v>
      </c>
      <c r="E40" s="169" t="s">
        <v>37</v>
      </c>
      <c r="F40" s="169"/>
      <c r="G40" s="169" t="s">
        <v>38</v>
      </c>
      <c r="H40" s="169"/>
      <c r="I40" s="169" t="s">
        <v>39</v>
      </c>
      <c r="J40" s="169"/>
    </row>
    <row r="41" spans="1:10" x14ac:dyDescent="0.2">
      <c r="A41" s="169"/>
      <c r="B41" s="169"/>
      <c r="C41" s="169"/>
      <c r="D41" s="169"/>
      <c r="E41" s="169"/>
      <c r="F41" s="169"/>
      <c r="G41" s="169"/>
      <c r="H41" s="169"/>
      <c r="I41" s="169"/>
      <c r="J41" s="169"/>
    </row>
    <row r="42" spans="1:10" x14ac:dyDescent="0.2">
      <c r="A42" s="9">
        <v>1</v>
      </c>
      <c r="B42" s="183" t="s">
        <v>631</v>
      </c>
      <c r="C42" s="128"/>
      <c r="D42" s="9">
        <v>9768</v>
      </c>
      <c r="E42" s="182">
        <v>36373</v>
      </c>
      <c r="F42" s="128"/>
      <c r="G42" s="128">
        <v>6802001</v>
      </c>
      <c r="H42" s="128"/>
      <c r="I42" s="136">
        <v>44400</v>
      </c>
      <c r="J42" s="136"/>
    </row>
    <row r="43" spans="1:10" x14ac:dyDescent="0.2">
      <c r="A43" s="9">
        <v>2</v>
      </c>
      <c r="B43" s="192">
        <v>486992</v>
      </c>
      <c r="C43" s="204"/>
      <c r="D43" s="9">
        <v>79722</v>
      </c>
      <c r="E43" s="192" t="s">
        <v>632</v>
      </c>
      <c r="F43" s="204"/>
      <c r="G43" s="192" t="s">
        <v>633</v>
      </c>
      <c r="H43" s="204"/>
      <c r="I43" s="194">
        <v>211655</v>
      </c>
      <c r="J43" s="195"/>
    </row>
    <row r="44" spans="1:10" x14ac:dyDescent="0.2">
      <c r="A44" s="19"/>
      <c r="B44" s="164"/>
      <c r="C44" s="165"/>
      <c r="D44" s="19">
        <v>87270</v>
      </c>
      <c r="E44" s="227" t="s">
        <v>632</v>
      </c>
      <c r="F44" s="228"/>
      <c r="G44" s="164" t="s">
        <v>864</v>
      </c>
      <c r="H44" s="165"/>
      <c r="I44" s="166">
        <v>7977.4</v>
      </c>
      <c r="J44" s="167"/>
    </row>
    <row r="45" spans="1:10" x14ac:dyDescent="0.2">
      <c r="A45" s="19">
        <v>4</v>
      </c>
      <c r="B45" s="137">
        <v>487243</v>
      </c>
      <c r="C45" s="137"/>
      <c r="D45" s="19">
        <v>83047</v>
      </c>
      <c r="E45" s="196">
        <v>41555</v>
      </c>
      <c r="F45" s="137"/>
      <c r="G45" s="137" t="s">
        <v>948</v>
      </c>
      <c r="H45" s="137"/>
      <c r="I45" s="138">
        <f>125515.5*1.05</f>
        <v>131791.27499999999</v>
      </c>
      <c r="J45" s="138"/>
    </row>
    <row r="46" spans="1:10" x14ac:dyDescent="0.2">
      <c r="A46" s="19"/>
      <c r="B46" s="137"/>
      <c r="C46" s="137"/>
      <c r="D46" s="19">
        <v>88870</v>
      </c>
      <c r="E46" s="352" t="s">
        <v>632</v>
      </c>
      <c r="F46" s="353"/>
      <c r="G46" s="137" t="s">
        <v>912</v>
      </c>
      <c r="H46" s="137"/>
      <c r="I46" s="138">
        <v>4463.8</v>
      </c>
      <c r="J46" s="138"/>
    </row>
    <row r="47" spans="1:10" x14ac:dyDescent="0.2">
      <c r="A47" s="58"/>
      <c r="B47" s="137"/>
      <c r="C47" s="137"/>
      <c r="D47" s="19">
        <v>90189</v>
      </c>
      <c r="E47" s="352" t="s">
        <v>632</v>
      </c>
      <c r="F47" s="353"/>
      <c r="G47" s="137" t="s">
        <v>939</v>
      </c>
      <c r="H47" s="137"/>
      <c r="I47" s="138">
        <v>20857</v>
      </c>
      <c r="J47" s="138"/>
    </row>
    <row r="48" spans="1:10" x14ac:dyDescent="0.2">
      <c r="A48" s="19">
        <v>3</v>
      </c>
      <c r="B48" s="137"/>
      <c r="C48" s="137"/>
      <c r="D48" s="19">
        <v>82901</v>
      </c>
      <c r="E48" s="354">
        <v>41555</v>
      </c>
      <c r="F48" s="353"/>
      <c r="G48" s="137" t="s">
        <v>958</v>
      </c>
      <c r="H48" s="137"/>
      <c r="I48" s="138">
        <v>284351.25</v>
      </c>
      <c r="J48" s="138"/>
    </row>
    <row r="49" spans="1:10" x14ac:dyDescent="0.2">
      <c r="A49" s="19"/>
      <c r="B49" s="137"/>
      <c r="C49" s="137"/>
      <c r="D49" s="19">
        <v>90412</v>
      </c>
      <c r="E49" s="354">
        <v>43133</v>
      </c>
      <c r="F49" s="353"/>
      <c r="G49" s="137" t="s">
        <v>979</v>
      </c>
      <c r="H49" s="137"/>
      <c r="I49" s="138">
        <v>126167.21</v>
      </c>
      <c r="J49" s="138"/>
    </row>
    <row r="50" spans="1:10" x14ac:dyDescent="0.2">
      <c r="A50" s="19"/>
      <c r="B50" s="137"/>
      <c r="C50" s="137"/>
      <c r="D50" s="19">
        <v>92742</v>
      </c>
      <c r="E50" s="352" t="s">
        <v>632</v>
      </c>
      <c r="F50" s="353"/>
      <c r="G50" s="137" t="s">
        <v>1009</v>
      </c>
      <c r="H50" s="137"/>
      <c r="I50" s="138">
        <v>12925.8</v>
      </c>
      <c r="J50" s="138"/>
    </row>
    <row r="51" spans="1:10" x14ac:dyDescent="0.2">
      <c r="A51" s="19"/>
      <c r="B51" s="137"/>
      <c r="C51" s="137"/>
      <c r="D51" s="19">
        <v>90413</v>
      </c>
      <c r="E51" s="227"/>
      <c r="F51" s="228"/>
      <c r="G51" s="137" t="s">
        <v>1049</v>
      </c>
      <c r="H51" s="137"/>
      <c r="I51" s="138">
        <v>107666.69</v>
      </c>
      <c r="J51" s="138"/>
    </row>
    <row r="52" spans="1:10" x14ac:dyDescent="0.2">
      <c r="A52" s="19"/>
      <c r="B52" s="137"/>
      <c r="C52" s="137"/>
      <c r="D52" s="19">
        <v>90962</v>
      </c>
      <c r="E52" s="303">
        <v>42070</v>
      </c>
      <c r="F52" s="228"/>
      <c r="G52" s="137" t="s">
        <v>1050</v>
      </c>
      <c r="H52" s="137"/>
      <c r="I52" s="138">
        <v>96031.26</v>
      </c>
      <c r="J52" s="138"/>
    </row>
    <row r="53" spans="1:10" x14ac:dyDescent="0.2">
      <c r="A53" s="19"/>
      <c r="B53" s="164"/>
      <c r="C53" s="165"/>
      <c r="D53" s="19">
        <v>82981</v>
      </c>
      <c r="E53" s="125">
        <v>42695</v>
      </c>
      <c r="F53" s="204"/>
      <c r="G53" s="164" t="s">
        <v>964</v>
      </c>
      <c r="H53" s="165"/>
      <c r="I53" s="166">
        <v>179756.1</v>
      </c>
      <c r="J53" s="167"/>
    </row>
    <row r="54" spans="1:10" x14ac:dyDescent="0.2">
      <c r="A54" s="19"/>
      <c r="B54" s="164"/>
      <c r="C54" s="165"/>
      <c r="D54" s="19">
        <v>104008</v>
      </c>
      <c r="E54" s="162">
        <v>44637</v>
      </c>
      <c r="F54" s="165"/>
      <c r="G54" s="164" t="s">
        <v>1144</v>
      </c>
      <c r="H54" s="165"/>
      <c r="I54" s="166">
        <v>300642.28000000003</v>
      </c>
      <c r="J54" s="167"/>
    </row>
    <row r="55" spans="1:10" x14ac:dyDescent="0.2">
      <c r="A55" s="58"/>
      <c r="B55" s="320"/>
      <c r="C55" s="321"/>
      <c r="D55" s="58">
        <v>114050</v>
      </c>
      <c r="E55" s="320"/>
      <c r="F55" s="321"/>
      <c r="G55" s="320" t="s">
        <v>1417</v>
      </c>
      <c r="H55" s="321"/>
      <c r="I55" s="323">
        <v>148050</v>
      </c>
      <c r="J55" s="324"/>
    </row>
    <row r="56" spans="1:10" x14ac:dyDescent="0.2">
      <c r="A56" s="9"/>
      <c r="B56" s="192"/>
      <c r="C56" s="204"/>
      <c r="D56" s="9">
        <v>104015</v>
      </c>
      <c r="E56" s="192"/>
      <c r="F56" s="204"/>
      <c r="G56" s="192" t="s">
        <v>1604</v>
      </c>
      <c r="H56" s="204"/>
      <c r="I56" s="194" t="s">
        <v>1605</v>
      </c>
      <c r="J56" s="195"/>
    </row>
    <row r="57" spans="1:10" x14ac:dyDescent="0.2">
      <c r="A57" s="58"/>
      <c r="B57" s="320"/>
      <c r="C57" s="321"/>
      <c r="D57" s="58"/>
      <c r="E57" s="320"/>
      <c r="F57" s="321"/>
      <c r="G57" s="320"/>
      <c r="H57" s="321"/>
      <c r="I57" s="323"/>
      <c r="J57" s="324"/>
    </row>
    <row r="58" spans="1:10" ht="13.5" thickBot="1" x14ac:dyDescent="0.25">
      <c r="A58" s="9"/>
      <c r="B58" s="128"/>
      <c r="C58" s="128"/>
      <c r="D58" s="9"/>
      <c r="E58" s="128"/>
      <c r="F58" s="128"/>
      <c r="G58" s="128"/>
      <c r="H58" s="128"/>
      <c r="I58" s="226"/>
      <c r="J58" s="226"/>
    </row>
    <row r="59" spans="1:10" ht="13.5" thickTop="1" x14ac:dyDescent="0.2">
      <c r="A59" s="13"/>
      <c r="B59" s="13"/>
      <c r="C59" s="13"/>
      <c r="D59" s="13"/>
      <c r="E59" s="13"/>
      <c r="F59" s="13"/>
      <c r="G59" s="13"/>
      <c r="H59" s="13" t="s">
        <v>33</v>
      </c>
      <c r="I59" s="140">
        <f>SUM(I42:J58)</f>
        <v>1676735.0650000002</v>
      </c>
      <c r="J59" s="140"/>
    </row>
    <row r="60" spans="1:10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 x14ac:dyDescent="0.25">
      <c r="A61" s="15" t="s">
        <v>46</v>
      </c>
      <c r="B61" s="16"/>
      <c r="C61" s="16"/>
      <c r="D61" s="16"/>
      <c r="E61" s="16"/>
      <c r="F61" s="16"/>
      <c r="G61" s="16"/>
      <c r="H61" s="16"/>
      <c r="I61" s="149" t="s">
        <v>47</v>
      </c>
      <c r="J61" s="150"/>
    </row>
    <row r="62" spans="1:10" x14ac:dyDescent="0.2">
      <c r="A62" s="144" t="s">
        <v>48</v>
      </c>
      <c r="B62" s="144"/>
      <c r="C62" s="144"/>
      <c r="D62" s="144"/>
      <c r="E62" s="144"/>
      <c r="F62" s="144"/>
      <c r="G62" s="144"/>
      <c r="H62" s="144"/>
      <c r="I62" s="148">
        <f>I37*80%</f>
        <v>2497705.264</v>
      </c>
      <c r="J62" s="148"/>
    </row>
    <row r="63" spans="1:10" x14ac:dyDescent="0.2">
      <c r="A63" s="144" t="s">
        <v>49</v>
      </c>
      <c r="B63" s="144"/>
      <c r="C63" s="144"/>
      <c r="D63" s="144"/>
      <c r="E63" s="144"/>
      <c r="F63" s="144"/>
      <c r="G63" s="144"/>
      <c r="H63" s="144"/>
      <c r="I63" s="184">
        <v>-166221</v>
      </c>
      <c r="J63" s="184"/>
    </row>
    <row r="64" spans="1:10" x14ac:dyDescent="0.2">
      <c r="A64" s="258" t="s">
        <v>1048</v>
      </c>
      <c r="B64" s="144"/>
      <c r="C64" s="144"/>
      <c r="D64" s="144"/>
      <c r="E64" s="144"/>
      <c r="F64" s="144"/>
      <c r="G64" s="144"/>
      <c r="H64" s="144"/>
      <c r="I64" s="184">
        <v>250000</v>
      </c>
      <c r="J64" s="184"/>
    </row>
    <row r="65" spans="1:10" x14ac:dyDescent="0.2">
      <c r="A65" s="231" t="s">
        <v>1120</v>
      </c>
      <c r="B65" s="144"/>
      <c r="C65" s="144"/>
      <c r="D65" s="144"/>
      <c r="E65" s="144"/>
      <c r="F65" s="144"/>
      <c r="G65" s="144"/>
      <c r="H65" s="144"/>
      <c r="I65" s="184">
        <v>-250000</v>
      </c>
      <c r="J65" s="184"/>
    </row>
    <row r="66" spans="1:10" x14ac:dyDescent="0.2">
      <c r="A66" s="134" t="s">
        <v>1522</v>
      </c>
      <c r="B66" s="134"/>
      <c r="C66" s="134"/>
      <c r="D66" s="134"/>
      <c r="E66" s="134"/>
      <c r="F66" s="134"/>
      <c r="G66" s="134"/>
      <c r="H66" s="134"/>
      <c r="I66" s="135">
        <v>-68221.649999999994</v>
      </c>
      <c r="J66" s="135"/>
    </row>
    <row r="67" spans="1:10" x14ac:dyDescent="0.2">
      <c r="A67" s="134" t="s">
        <v>1173</v>
      </c>
      <c r="B67" s="134"/>
      <c r="C67" s="134"/>
      <c r="D67" s="134"/>
      <c r="E67" s="134"/>
      <c r="F67" s="134"/>
      <c r="G67" s="134"/>
      <c r="H67" s="134"/>
      <c r="I67" s="135">
        <v>-160454.85</v>
      </c>
      <c r="J67" s="135"/>
    </row>
    <row r="68" spans="1:10" ht="13.5" thickBot="1" x14ac:dyDescent="0.25">
      <c r="A68" s="144" t="s">
        <v>50</v>
      </c>
      <c r="B68" s="144"/>
      <c r="C68" s="144"/>
      <c r="D68" s="144"/>
      <c r="E68" s="144"/>
      <c r="F68" s="144"/>
      <c r="G68" s="144"/>
      <c r="H68" s="144"/>
      <c r="I68" s="145">
        <f>I59</f>
        <v>1676735.0650000002</v>
      </c>
      <c r="J68" s="145"/>
    </row>
    <row r="69" spans="1:10" ht="13.5" thickTop="1" x14ac:dyDescent="0.2">
      <c r="H69" s="18" t="s">
        <v>33</v>
      </c>
      <c r="I69" s="129">
        <f>I62+I63+I64+I65+I66+I67-I68</f>
        <v>426072.69899999979</v>
      </c>
      <c r="J69" s="130"/>
    </row>
    <row r="70" spans="1:10" x14ac:dyDescent="0.2">
      <c r="I70" s="28"/>
      <c r="J70" s="28"/>
    </row>
    <row r="71" spans="1:10" ht="15" x14ac:dyDescent="0.25">
      <c r="A71" s="131" t="s">
        <v>51</v>
      </c>
      <c r="B71" s="132"/>
      <c r="C71" s="132"/>
      <c r="D71" s="132"/>
      <c r="E71" s="132"/>
      <c r="F71" s="132"/>
      <c r="G71" s="132"/>
      <c r="H71" s="132"/>
      <c r="I71" s="132"/>
      <c r="J71" s="133"/>
    </row>
    <row r="72" spans="1:10" x14ac:dyDescent="0.2">
      <c r="A72" s="139" t="s">
        <v>634</v>
      </c>
      <c r="B72" s="139"/>
      <c r="C72" s="139"/>
      <c r="D72" s="139"/>
      <c r="E72" s="139"/>
      <c r="F72" s="139"/>
      <c r="G72" s="139"/>
      <c r="H72" s="139"/>
      <c r="I72" s="139"/>
      <c r="J72" s="139"/>
    </row>
    <row r="73" spans="1:10" x14ac:dyDescent="0.2">
      <c r="A73" s="139"/>
      <c r="B73" s="139"/>
      <c r="C73" s="139"/>
      <c r="D73" s="139"/>
      <c r="E73" s="139"/>
      <c r="F73" s="139"/>
      <c r="G73" s="139"/>
      <c r="H73" s="139"/>
      <c r="I73" s="139"/>
      <c r="J73" s="139"/>
    </row>
    <row r="74" spans="1:10" x14ac:dyDescent="0.2">
      <c r="A74" s="139"/>
      <c r="B74" s="139"/>
      <c r="C74" s="139"/>
      <c r="D74" s="139"/>
      <c r="E74" s="139"/>
      <c r="F74" s="139"/>
      <c r="G74" s="139"/>
      <c r="H74" s="139"/>
      <c r="I74" s="139"/>
      <c r="J74" s="139"/>
    </row>
    <row r="75" spans="1:10" ht="24.95" customHeight="1" x14ac:dyDescent="0.2">
      <c r="A75" s="139"/>
      <c r="B75" s="139"/>
      <c r="C75" s="139"/>
      <c r="D75" s="139"/>
      <c r="E75" s="139"/>
      <c r="F75" s="139"/>
      <c r="G75" s="139"/>
      <c r="H75" s="139"/>
      <c r="I75" s="139"/>
      <c r="J75" s="139"/>
    </row>
    <row r="76" spans="1:10" x14ac:dyDescent="0.2">
      <c r="A76" s="139"/>
      <c r="B76" s="139"/>
      <c r="C76" s="139"/>
      <c r="D76" s="139"/>
      <c r="E76" s="139"/>
      <c r="F76" s="139"/>
      <c r="G76" s="139"/>
      <c r="H76" s="139"/>
      <c r="I76" s="139"/>
      <c r="J76" s="139"/>
    </row>
    <row r="77" spans="1:10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</row>
  </sheetData>
  <mergeCells count="196">
    <mergeCell ref="B56:C56"/>
    <mergeCell ref="E56:F56"/>
    <mergeCell ref="G56:H56"/>
    <mergeCell ref="I56:J56"/>
    <mergeCell ref="B48:C48"/>
    <mergeCell ref="G48:H48"/>
    <mergeCell ref="I48:J48"/>
    <mergeCell ref="B31:C31"/>
    <mergeCell ref="D31:E31"/>
    <mergeCell ref="G31:H31"/>
    <mergeCell ref="G35:H35"/>
    <mergeCell ref="B42:C42"/>
    <mergeCell ref="E42:F42"/>
    <mergeCell ref="I42:J42"/>
    <mergeCell ref="G44:H44"/>
    <mergeCell ref="B43:C43"/>
    <mergeCell ref="E43:F43"/>
    <mergeCell ref="G43:H43"/>
    <mergeCell ref="I43:J43"/>
    <mergeCell ref="I44:J44"/>
    <mergeCell ref="E44:F44"/>
    <mergeCell ref="B47:C47"/>
    <mergeCell ref="G47:H47"/>
    <mergeCell ref="I47:J47"/>
    <mergeCell ref="I46:J46"/>
    <mergeCell ref="E48:F48"/>
    <mergeCell ref="A40:A41"/>
    <mergeCell ref="B40:C41"/>
    <mergeCell ref="D40:D41"/>
    <mergeCell ref="E40:F41"/>
    <mergeCell ref="G40:H41"/>
    <mergeCell ref="I40:J41"/>
    <mergeCell ref="G42:H42"/>
    <mergeCell ref="B44:C44"/>
    <mergeCell ref="E45:F45"/>
    <mergeCell ref="G45:H45"/>
    <mergeCell ref="I45:J45"/>
    <mergeCell ref="D25:E25"/>
    <mergeCell ref="G25:H25"/>
    <mergeCell ref="B36:C36"/>
    <mergeCell ref="D36:E36"/>
    <mergeCell ref="G36:H36"/>
    <mergeCell ref="B35:C35"/>
    <mergeCell ref="D35:E35"/>
    <mergeCell ref="A39:J39"/>
    <mergeCell ref="B26:C26"/>
    <mergeCell ref="D26:E26"/>
    <mergeCell ref="B32:C32"/>
    <mergeCell ref="D33:E33"/>
    <mergeCell ref="B10:C10"/>
    <mergeCell ref="D10:E10"/>
    <mergeCell ref="G10:H10"/>
    <mergeCell ref="B9:C9"/>
    <mergeCell ref="D9:E9"/>
    <mergeCell ref="G9:H9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D16:E16"/>
    <mergeCell ref="B14:C14"/>
    <mergeCell ref="D14:E14"/>
    <mergeCell ref="G14:H14"/>
    <mergeCell ref="B15:C15"/>
    <mergeCell ref="B57:C57"/>
    <mergeCell ref="E57:F57"/>
    <mergeCell ref="I53:J53"/>
    <mergeCell ref="A3:J3"/>
    <mergeCell ref="A4:A5"/>
    <mergeCell ref="B4:E4"/>
    <mergeCell ref="F4:F5"/>
    <mergeCell ref="G4:H5"/>
    <mergeCell ref="B5:C5"/>
    <mergeCell ref="D5:E5"/>
    <mergeCell ref="B8:C8"/>
    <mergeCell ref="D8:E8"/>
    <mergeCell ref="G8:H8"/>
    <mergeCell ref="B7:C7"/>
    <mergeCell ref="D7:E7"/>
    <mergeCell ref="G7:H7"/>
    <mergeCell ref="I4:I5"/>
    <mergeCell ref="J4:J5"/>
    <mergeCell ref="B6:C6"/>
    <mergeCell ref="D6:E6"/>
    <mergeCell ref="G6:H6"/>
    <mergeCell ref="I50:J50"/>
    <mergeCell ref="B53:C53"/>
    <mergeCell ref="G53:H53"/>
    <mergeCell ref="I49:J49"/>
    <mergeCell ref="B54:C54"/>
    <mergeCell ref="B50:C50"/>
    <mergeCell ref="G50:H50"/>
    <mergeCell ref="E54:F54"/>
    <mergeCell ref="I52:J52"/>
    <mergeCell ref="G54:H54"/>
    <mergeCell ref="I54:J54"/>
    <mergeCell ref="E52:F52"/>
    <mergeCell ref="E51:F51"/>
    <mergeCell ref="B52:C52"/>
    <mergeCell ref="I51:J51"/>
    <mergeCell ref="A72:J77"/>
    <mergeCell ref="A63:H63"/>
    <mergeCell ref="I63:J63"/>
    <mergeCell ref="A68:H68"/>
    <mergeCell ref="I68:J68"/>
    <mergeCell ref="I59:J59"/>
    <mergeCell ref="I69:J69"/>
    <mergeCell ref="A71:J71"/>
    <mergeCell ref="A65:H65"/>
    <mergeCell ref="I65:J65"/>
    <mergeCell ref="A64:H64"/>
    <mergeCell ref="I64:J64"/>
    <mergeCell ref="I61:J61"/>
    <mergeCell ref="A62:H62"/>
    <mergeCell ref="A66:H66"/>
    <mergeCell ref="I66:J66"/>
    <mergeCell ref="I62:J62"/>
    <mergeCell ref="A67:H67"/>
    <mergeCell ref="I67:J67"/>
    <mergeCell ref="B58:C58"/>
    <mergeCell ref="E58:F58"/>
    <mergeCell ref="G58:H58"/>
    <mergeCell ref="D15:E15"/>
    <mergeCell ref="G15:H15"/>
    <mergeCell ref="B49:C49"/>
    <mergeCell ref="B22:C22"/>
    <mergeCell ref="D22:E22"/>
    <mergeCell ref="G22:H22"/>
    <mergeCell ref="B23:C23"/>
    <mergeCell ref="D23:E23"/>
    <mergeCell ref="G23:H23"/>
    <mergeCell ref="G49:H49"/>
    <mergeCell ref="B34:C34"/>
    <mergeCell ref="D34:E34"/>
    <mergeCell ref="G34:H34"/>
    <mergeCell ref="G32:H32"/>
    <mergeCell ref="B33:C33"/>
    <mergeCell ref="D32:E32"/>
    <mergeCell ref="G16:H16"/>
    <mergeCell ref="B17:C17"/>
    <mergeCell ref="D17:E17"/>
    <mergeCell ref="B25:C25"/>
    <mergeCell ref="G52:H52"/>
    <mergeCell ref="I58:J58"/>
    <mergeCell ref="E47:F47"/>
    <mergeCell ref="G17:H17"/>
    <mergeCell ref="B18:C18"/>
    <mergeCell ref="D18:E18"/>
    <mergeCell ref="G18:H18"/>
    <mergeCell ref="B16:C16"/>
    <mergeCell ref="B19:C19"/>
    <mergeCell ref="D19:E19"/>
    <mergeCell ref="G19:H19"/>
    <mergeCell ref="B20:C20"/>
    <mergeCell ref="D20:E20"/>
    <mergeCell ref="G20:H20"/>
    <mergeCell ref="G51:H51"/>
    <mergeCell ref="G26:H26"/>
    <mergeCell ref="B27:C27"/>
    <mergeCell ref="D27:E27"/>
    <mergeCell ref="G27:H27"/>
    <mergeCell ref="B24:C24"/>
    <mergeCell ref="D24:E24"/>
    <mergeCell ref="G24:H24"/>
    <mergeCell ref="B46:C46"/>
    <mergeCell ref="G46:H46"/>
    <mergeCell ref="B21:C21"/>
    <mergeCell ref="D21:E21"/>
    <mergeCell ref="G21:H21"/>
    <mergeCell ref="G33:H33"/>
    <mergeCell ref="G57:H57"/>
    <mergeCell ref="I57:J57"/>
    <mergeCell ref="E50:F50"/>
    <mergeCell ref="E49:F49"/>
    <mergeCell ref="E46:F46"/>
    <mergeCell ref="B28:C28"/>
    <mergeCell ref="D28:E28"/>
    <mergeCell ref="G28:H28"/>
    <mergeCell ref="B29:C29"/>
    <mergeCell ref="D29:E29"/>
    <mergeCell ref="G29:H29"/>
    <mergeCell ref="B45:C45"/>
    <mergeCell ref="B30:C30"/>
    <mergeCell ref="D30:E30"/>
    <mergeCell ref="G30:H30"/>
    <mergeCell ref="B55:C55"/>
    <mergeCell ref="E55:F55"/>
    <mergeCell ref="G55:H55"/>
    <mergeCell ref="I55:J55"/>
    <mergeCell ref="E53:F53"/>
    <mergeCell ref="B51:C51"/>
  </mergeCells>
  <phoneticPr fontId="6" type="noConversion"/>
  <pageMargins left="0.75" right="0.75" top="1" bottom="1" header="0.5" footer="0.5"/>
  <pageSetup scale="88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52"/>
  <sheetViews>
    <sheetView workbookViewId="0">
      <selection activeCell="D10" sqref="D10:E10"/>
    </sheetView>
  </sheetViews>
  <sheetFormatPr defaultRowHeight="12.75" x14ac:dyDescent="0.2"/>
  <cols>
    <col min="6" max="6" width="16.42578125" bestFit="1" customWidth="1"/>
    <col min="7" max="8" width="13.5703125" customWidth="1"/>
    <col min="9" max="9" width="13.85546875" bestFit="1" customWidth="1"/>
    <col min="10" max="10" width="11.1406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1321</v>
      </c>
      <c r="B2" s="6"/>
      <c r="C2" s="6"/>
      <c r="D2" s="6"/>
      <c r="E2" s="6"/>
      <c r="F2" s="6"/>
      <c r="G2" s="6"/>
      <c r="H2" s="6"/>
      <c r="I2" s="6"/>
      <c r="J2" s="59" t="s">
        <v>21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173" t="s">
        <v>834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0" x14ac:dyDescent="0.2">
      <c r="A6" s="9">
        <v>1</v>
      </c>
      <c r="B6" s="128">
        <v>6960014</v>
      </c>
      <c r="C6" s="128"/>
      <c r="D6" s="128">
        <v>6960015</v>
      </c>
      <c r="E6" s="128"/>
      <c r="F6" s="12">
        <v>43525</v>
      </c>
      <c r="G6" s="169"/>
      <c r="H6" s="179"/>
      <c r="I6" s="32">
        <v>109999.13</v>
      </c>
      <c r="J6" s="32">
        <f t="shared" ref="J6:J10" si="0">I6*0.8</f>
        <v>87999.304000000004</v>
      </c>
    </row>
    <row r="7" spans="1:10" x14ac:dyDescent="0.2">
      <c r="A7" s="9">
        <v>2</v>
      </c>
      <c r="B7" s="128">
        <v>6930698</v>
      </c>
      <c r="C7" s="128"/>
      <c r="D7" s="128">
        <v>6930697</v>
      </c>
      <c r="E7" s="128"/>
      <c r="F7" s="12">
        <v>43965</v>
      </c>
      <c r="G7" s="169"/>
      <c r="H7" s="179"/>
      <c r="I7" s="32">
        <v>75315.360000000001</v>
      </c>
      <c r="J7" s="32">
        <f t="shared" si="0"/>
        <v>60252.288</v>
      </c>
    </row>
    <row r="8" spans="1:10" x14ac:dyDescent="0.2">
      <c r="A8" s="9">
        <v>3</v>
      </c>
      <c r="B8" s="128">
        <v>6932681</v>
      </c>
      <c r="C8" s="128"/>
      <c r="D8" s="128">
        <v>6932682</v>
      </c>
      <c r="E8" s="128"/>
      <c r="F8" s="12">
        <v>44448</v>
      </c>
      <c r="G8" s="169"/>
      <c r="H8" s="179"/>
      <c r="I8" s="32">
        <v>118848.96000000001</v>
      </c>
      <c r="J8" s="32">
        <f t="shared" si="0"/>
        <v>95079.168000000005</v>
      </c>
    </row>
    <row r="9" spans="1:10" x14ac:dyDescent="0.2">
      <c r="A9" s="9">
        <v>4</v>
      </c>
      <c r="B9" s="128">
        <v>6930603</v>
      </c>
      <c r="C9" s="128"/>
      <c r="D9" s="128" t="s">
        <v>1151</v>
      </c>
      <c r="E9" s="128"/>
      <c r="F9" s="12">
        <v>45106</v>
      </c>
      <c r="G9" s="169"/>
      <c r="H9" s="179"/>
      <c r="I9" s="44">
        <v>233933.77</v>
      </c>
      <c r="J9" s="32">
        <f t="shared" si="0"/>
        <v>187147.016</v>
      </c>
    </row>
    <row r="10" spans="1:10" x14ac:dyDescent="0.2">
      <c r="A10" s="9">
        <v>5</v>
      </c>
      <c r="B10" s="128">
        <v>6931804</v>
      </c>
      <c r="C10" s="128"/>
      <c r="D10" s="128">
        <v>6931805</v>
      </c>
      <c r="E10" s="128"/>
      <c r="F10" s="12">
        <v>45106</v>
      </c>
      <c r="G10" s="169"/>
      <c r="H10" s="179"/>
      <c r="I10" s="44">
        <v>230869.85</v>
      </c>
      <c r="J10" s="32">
        <f t="shared" si="0"/>
        <v>184695.88</v>
      </c>
    </row>
    <row r="11" spans="1:10" x14ac:dyDescent="0.2">
      <c r="A11" s="9"/>
      <c r="B11" s="128"/>
      <c r="C11" s="128"/>
      <c r="D11" s="128"/>
      <c r="E11" s="128"/>
      <c r="F11" s="12"/>
      <c r="G11" s="169"/>
      <c r="H11" s="179"/>
      <c r="I11" s="44"/>
      <c r="J11" s="32"/>
    </row>
    <row r="12" spans="1:10" x14ac:dyDescent="0.2">
      <c r="A12" s="9"/>
      <c r="B12" s="128"/>
      <c r="C12" s="128"/>
      <c r="D12" s="137"/>
      <c r="E12" s="128"/>
      <c r="F12" s="12"/>
      <c r="G12" s="169"/>
      <c r="H12" s="179"/>
      <c r="I12" s="44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79"/>
      <c r="I13" s="44"/>
      <c r="J13" s="32"/>
    </row>
    <row r="14" spans="1:10" x14ac:dyDescent="0.2">
      <c r="A14" s="9"/>
      <c r="B14" s="128"/>
      <c r="C14" s="128"/>
      <c r="D14" s="128"/>
      <c r="E14" s="128"/>
      <c r="F14" s="12"/>
      <c r="G14" s="169"/>
      <c r="H14" s="179"/>
      <c r="I14" s="44"/>
      <c r="J14" s="32"/>
    </row>
    <row r="15" spans="1:10" x14ac:dyDescent="0.2">
      <c r="A15" s="9"/>
      <c r="B15" s="128"/>
      <c r="C15" s="128"/>
      <c r="D15" s="128"/>
      <c r="E15" s="128"/>
      <c r="F15" s="12"/>
      <c r="G15" s="169"/>
      <c r="H15" s="179"/>
      <c r="I15" s="44"/>
      <c r="J15" s="32"/>
    </row>
    <row r="16" spans="1:10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44">
        <f>I6+I7+I8+I9+I10+I11+I14+I15</f>
        <v>768967.07</v>
      </c>
      <c r="J16" s="33">
        <f>SUM(J6:J15)</f>
        <v>615173.65599999996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1" t="s">
        <v>34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x14ac:dyDescent="0.2">
      <c r="A19" s="169" t="s">
        <v>23</v>
      </c>
      <c r="B19" s="169" t="s">
        <v>35</v>
      </c>
      <c r="C19" s="169"/>
      <c r="D19" s="169" t="s">
        <v>36</v>
      </c>
      <c r="E19" s="169" t="s">
        <v>37</v>
      </c>
      <c r="F19" s="169"/>
      <c r="G19" s="169" t="s">
        <v>38</v>
      </c>
      <c r="H19" s="169"/>
      <c r="I19" s="169" t="s">
        <v>39</v>
      </c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82"/>
      <c r="B21" s="252"/>
      <c r="C21" s="198"/>
      <c r="D21" s="82"/>
      <c r="E21" s="253"/>
      <c r="F21" s="198"/>
      <c r="G21" s="198"/>
      <c r="H21" s="198"/>
      <c r="I21" s="199"/>
      <c r="J21" s="199"/>
    </row>
    <row r="22" spans="1:10" x14ac:dyDescent="0.2">
      <c r="A22" s="9"/>
      <c r="B22" s="128"/>
      <c r="C22" s="128"/>
      <c r="D22" s="9"/>
      <c r="E22" s="182"/>
      <c r="F22" s="128"/>
      <c r="G22" s="128"/>
      <c r="H22" s="128"/>
      <c r="I22" s="136"/>
      <c r="J22" s="136"/>
    </row>
    <row r="23" spans="1:10" x14ac:dyDescent="0.2">
      <c r="A23" s="19"/>
      <c r="B23" s="137"/>
      <c r="C23" s="137"/>
      <c r="D23" s="19"/>
      <c r="E23" s="196"/>
      <c r="F23" s="137"/>
      <c r="G23" s="137"/>
      <c r="H23" s="137"/>
      <c r="I23" s="138"/>
      <c r="J23" s="138"/>
    </row>
    <row r="24" spans="1:10" x14ac:dyDescent="0.2">
      <c r="A24" s="19"/>
      <c r="B24" s="137"/>
      <c r="C24" s="137"/>
      <c r="D24" s="19"/>
      <c r="E24" s="137"/>
      <c r="F24" s="137"/>
      <c r="G24" s="137"/>
      <c r="H24" s="137"/>
      <c r="I24" s="138"/>
      <c r="J24" s="138"/>
    </row>
    <row r="25" spans="1:10" x14ac:dyDescent="0.2">
      <c r="A25" s="19"/>
      <c r="B25" s="137"/>
      <c r="C25" s="137"/>
      <c r="D25" s="19"/>
      <c r="E25" s="137"/>
      <c r="F25" s="137"/>
      <c r="G25" s="137"/>
      <c r="H25" s="137"/>
      <c r="I25" s="138"/>
      <c r="J25" s="138"/>
    </row>
    <row r="26" spans="1:10" x14ac:dyDescent="0.2">
      <c r="A26" s="19"/>
      <c r="B26" s="137"/>
      <c r="C26" s="137"/>
      <c r="D26" s="19"/>
      <c r="E26" s="137"/>
      <c r="F26" s="137"/>
      <c r="G26" s="137"/>
      <c r="H26" s="137"/>
      <c r="I26" s="138"/>
      <c r="J26" s="138"/>
    </row>
    <row r="27" spans="1:10" x14ac:dyDescent="0.2">
      <c r="A27" s="19"/>
      <c r="B27" s="137"/>
      <c r="C27" s="137"/>
      <c r="D27" s="19"/>
      <c r="E27" s="137"/>
      <c r="F27" s="137"/>
      <c r="G27" s="137"/>
      <c r="H27" s="137"/>
      <c r="I27" s="138"/>
      <c r="J27" s="138"/>
    </row>
    <row r="28" spans="1:10" x14ac:dyDescent="0.2">
      <c r="A28" s="19"/>
      <c r="B28" s="137"/>
      <c r="C28" s="137"/>
      <c r="D28" s="19"/>
      <c r="E28" s="137"/>
      <c r="F28" s="137"/>
      <c r="G28" s="137"/>
      <c r="H28" s="137"/>
      <c r="I28" s="138"/>
      <c r="J28" s="138"/>
    </row>
    <row r="29" spans="1:10" x14ac:dyDescent="0.2">
      <c r="A29" s="19"/>
      <c r="B29" s="137"/>
      <c r="C29" s="137"/>
      <c r="D29" s="19"/>
      <c r="E29" s="137"/>
      <c r="F29" s="137"/>
      <c r="G29" s="137"/>
      <c r="H29" s="137"/>
      <c r="I29" s="138"/>
      <c r="J29" s="138"/>
    </row>
    <row r="30" spans="1:10" x14ac:dyDescent="0.2">
      <c r="A30" s="19"/>
      <c r="B30" s="137"/>
      <c r="C30" s="137"/>
      <c r="D30" s="19"/>
      <c r="E30" s="137"/>
      <c r="F30" s="137"/>
      <c r="G30" s="137"/>
      <c r="H30" s="137"/>
      <c r="I30" s="138"/>
      <c r="J30" s="138"/>
    </row>
    <row r="31" spans="1:10" x14ac:dyDescent="0.2">
      <c r="A31" s="19"/>
      <c r="B31" s="137"/>
      <c r="C31" s="137"/>
      <c r="D31" s="19"/>
      <c r="E31" s="137"/>
      <c r="F31" s="137"/>
      <c r="G31" s="137"/>
      <c r="H31" s="137"/>
      <c r="I31" s="138"/>
      <c r="J31" s="138"/>
    </row>
    <row r="32" spans="1:10" x14ac:dyDescent="0.2">
      <c r="A32" s="19"/>
      <c r="B32" s="137"/>
      <c r="C32" s="137"/>
      <c r="D32" s="19"/>
      <c r="E32" s="137"/>
      <c r="F32" s="137"/>
      <c r="G32" s="137"/>
      <c r="H32" s="137"/>
      <c r="I32" s="138"/>
      <c r="J32" s="138"/>
    </row>
    <row r="33" spans="1:10" x14ac:dyDescent="0.2">
      <c r="A33" s="58"/>
      <c r="B33" s="151"/>
      <c r="C33" s="151"/>
      <c r="D33" s="58"/>
      <c r="E33" s="151"/>
      <c r="F33" s="151"/>
      <c r="G33" s="151"/>
      <c r="H33" s="151"/>
      <c r="I33" s="152"/>
      <c r="J33" s="152"/>
    </row>
    <row r="34" spans="1:10" x14ac:dyDescent="0.2">
      <c r="A34" s="26"/>
      <c r="B34" s="236"/>
      <c r="C34" s="236"/>
      <c r="D34" s="26"/>
      <c r="E34" s="236"/>
      <c r="F34" s="236"/>
      <c r="G34" s="220"/>
      <c r="H34" s="236"/>
      <c r="I34" s="247"/>
      <c r="J34" s="247"/>
    </row>
    <row r="35" spans="1:10" x14ac:dyDescent="0.2">
      <c r="A35" s="26"/>
      <c r="B35" s="236"/>
      <c r="C35" s="236"/>
      <c r="D35" s="26"/>
      <c r="E35" s="236"/>
      <c r="F35" s="236"/>
      <c r="G35" s="236"/>
      <c r="H35" s="236"/>
      <c r="I35" s="247"/>
      <c r="J35" s="247"/>
    </row>
    <row r="36" spans="1:10" ht="13.5" thickBot="1" x14ac:dyDescent="0.25">
      <c r="A36" s="9"/>
      <c r="B36" s="128"/>
      <c r="C36" s="128"/>
      <c r="D36" s="9"/>
      <c r="E36" s="128"/>
      <c r="F36" s="128"/>
      <c r="G36" s="128"/>
      <c r="H36" s="128"/>
      <c r="I36" s="226"/>
      <c r="J36" s="226"/>
    </row>
    <row r="37" spans="1:10" ht="13.5" thickTop="1" x14ac:dyDescent="0.2">
      <c r="A37" s="13"/>
      <c r="B37" s="13"/>
      <c r="C37" s="13"/>
      <c r="D37" s="13"/>
      <c r="E37" s="13"/>
      <c r="F37" s="13"/>
      <c r="G37" s="13"/>
      <c r="H37" s="13" t="s">
        <v>33</v>
      </c>
      <c r="I37" s="140">
        <f>SUM(I21:J36)</f>
        <v>0</v>
      </c>
      <c r="J37" s="140"/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15" t="s">
        <v>46</v>
      </c>
      <c r="B39" s="16"/>
      <c r="C39" s="16"/>
      <c r="D39" s="16"/>
      <c r="E39" s="16"/>
      <c r="F39" s="16"/>
      <c r="G39" s="16"/>
      <c r="H39" s="16"/>
      <c r="I39" s="149" t="s">
        <v>47</v>
      </c>
      <c r="J39" s="150"/>
    </row>
    <row r="40" spans="1:10" x14ac:dyDescent="0.2">
      <c r="A40" s="144" t="s">
        <v>48</v>
      </c>
      <c r="B40" s="144"/>
      <c r="C40" s="144"/>
      <c r="D40" s="144"/>
      <c r="E40" s="144"/>
      <c r="F40" s="144"/>
      <c r="G40" s="144"/>
      <c r="H40" s="144"/>
      <c r="I40" s="148">
        <f>J16</f>
        <v>615173.65599999996</v>
      </c>
      <c r="J40" s="148"/>
    </row>
    <row r="41" spans="1:10" x14ac:dyDescent="0.2">
      <c r="A41" s="144" t="s">
        <v>49</v>
      </c>
      <c r="B41" s="144"/>
      <c r="C41" s="144"/>
      <c r="D41" s="144"/>
      <c r="E41" s="144"/>
      <c r="F41" s="144"/>
      <c r="G41" s="144"/>
      <c r="H41" s="144"/>
      <c r="I41" s="184">
        <v>0</v>
      </c>
      <c r="J41" s="184"/>
    </row>
    <row r="42" spans="1:10" x14ac:dyDescent="0.2">
      <c r="A42" s="355" t="s">
        <v>1620</v>
      </c>
      <c r="B42" s="355"/>
      <c r="C42" s="355"/>
      <c r="D42" s="355"/>
      <c r="E42" s="355"/>
      <c r="F42" s="355"/>
      <c r="G42" s="355"/>
      <c r="H42" s="355"/>
      <c r="I42" s="184">
        <v>-277572.15000000002</v>
      </c>
      <c r="J42" s="184"/>
    </row>
    <row r="43" spans="1:10" ht="13.5" thickBot="1" x14ac:dyDescent="0.25">
      <c r="A43" s="144" t="s">
        <v>50</v>
      </c>
      <c r="B43" s="144"/>
      <c r="C43" s="144"/>
      <c r="D43" s="144"/>
      <c r="E43" s="144"/>
      <c r="F43" s="144"/>
      <c r="G43" s="144"/>
      <c r="H43" s="144"/>
      <c r="I43" s="145">
        <f>I37</f>
        <v>0</v>
      </c>
      <c r="J43" s="145"/>
    </row>
    <row r="44" spans="1:10" ht="13.5" thickTop="1" x14ac:dyDescent="0.2">
      <c r="H44" s="18" t="s">
        <v>33</v>
      </c>
      <c r="I44" s="129">
        <f>I40+I41+I42-I43</f>
        <v>337601.50599999994</v>
      </c>
      <c r="J44" s="130"/>
    </row>
    <row r="46" spans="1:10" ht="15" x14ac:dyDescent="0.25">
      <c r="A46" s="131" t="s">
        <v>51</v>
      </c>
      <c r="B46" s="132"/>
      <c r="C46" s="132"/>
      <c r="D46" s="132"/>
      <c r="E46" s="132"/>
      <c r="F46" s="132"/>
      <c r="G46" s="132"/>
      <c r="H46" s="132"/>
      <c r="I46" s="132"/>
      <c r="J46" s="133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  <row r="49" spans="1:10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</sheetData>
  <mergeCells count="123">
    <mergeCell ref="A47:J52"/>
    <mergeCell ref="A42:H42"/>
    <mergeCell ref="I42:J42"/>
    <mergeCell ref="A43:H43"/>
    <mergeCell ref="I43:J43"/>
    <mergeCell ref="I44:J44"/>
    <mergeCell ref="A46:J46"/>
    <mergeCell ref="I37:J37"/>
    <mergeCell ref="I39:J39"/>
    <mergeCell ref="A40:H40"/>
    <mergeCell ref="I40:J40"/>
    <mergeCell ref="A41:H41"/>
    <mergeCell ref="I41:J41"/>
    <mergeCell ref="B35:C35"/>
    <mergeCell ref="E35:F35"/>
    <mergeCell ref="G35:H35"/>
    <mergeCell ref="I35:J35"/>
    <mergeCell ref="B36:C36"/>
    <mergeCell ref="E36:F36"/>
    <mergeCell ref="G36:H36"/>
    <mergeCell ref="I36:J36"/>
    <mergeCell ref="B33:C33"/>
    <mergeCell ref="E33:F33"/>
    <mergeCell ref="G33:H33"/>
    <mergeCell ref="I33:J33"/>
    <mergeCell ref="B34:C34"/>
    <mergeCell ref="E34:F34"/>
    <mergeCell ref="G34:H34"/>
    <mergeCell ref="I34:J34"/>
    <mergeCell ref="B31:C31"/>
    <mergeCell ref="E31:F31"/>
    <mergeCell ref="G31:H31"/>
    <mergeCell ref="I31:J31"/>
    <mergeCell ref="B32:C32"/>
    <mergeCell ref="E32:F32"/>
    <mergeCell ref="G32:H32"/>
    <mergeCell ref="I32:J32"/>
    <mergeCell ref="B29:C29"/>
    <mergeCell ref="E29:F29"/>
    <mergeCell ref="G29:H29"/>
    <mergeCell ref="I29:J29"/>
    <mergeCell ref="B30:C30"/>
    <mergeCell ref="E30:F30"/>
    <mergeCell ref="G30:H30"/>
    <mergeCell ref="I30:J30"/>
    <mergeCell ref="B27:C27"/>
    <mergeCell ref="E27:F27"/>
    <mergeCell ref="G27:H27"/>
    <mergeCell ref="I27:J27"/>
    <mergeCell ref="B28:C28"/>
    <mergeCell ref="E28:F28"/>
    <mergeCell ref="G28:H28"/>
    <mergeCell ref="I28:J28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A18:J18"/>
    <mergeCell ref="A19:A20"/>
    <mergeCell ref="B19:C20"/>
    <mergeCell ref="D19:D20"/>
    <mergeCell ref="E19:F20"/>
    <mergeCell ref="G19:H20"/>
    <mergeCell ref="I19:J20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49">
    <pageSetUpPr fitToPage="1"/>
  </sheetPr>
  <dimension ref="A1:J87"/>
  <sheetViews>
    <sheetView topLeftCell="A43" workbookViewId="0">
      <selection activeCell="K58" sqref="K58"/>
    </sheetView>
  </sheetViews>
  <sheetFormatPr defaultRowHeight="12.75" x14ac:dyDescent="0.2"/>
  <cols>
    <col min="6" max="6" width="14.140625" customWidth="1"/>
    <col min="9" max="9" width="13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635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7034466</v>
      </c>
      <c r="C6" s="128"/>
      <c r="D6" s="128"/>
      <c r="E6" s="128"/>
      <c r="F6" s="12">
        <v>39784</v>
      </c>
      <c r="G6" s="169"/>
      <c r="H6" s="169"/>
      <c r="I6" s="32">
        <v>32342.43</v>
      </c>
      <c r="J6" s="32">
        <f t="shared" ref="J6:J11" si="0">I6*0.8</f>
        <v>25873.944000000003</v>
      </c>
    </row>
    <row r="7" spans="1:10" x14ac:dyDescent="0.2">
      <c r="A7" s="9">
        <v>2</v>
      </c>
      <c r="B7" s="128">
        <v>7030770</v>
      </c>
      <c r="C7" s="128"/>
      <c r="D7" s="128"/>
      <c r="E7" s="128"/>
      <c r="F7" s="12">
        <v>40252</v>
      </c>
      <c r="G7" s="169"/>
      <c r="H7" s="169"/>
      <c r="I7" s="32">
        <v>47216.94</v>
      </c>
      <c r="J7" s="32">
        <f t="shared" si="0"/>
        <v>37773.552000000003</v>
      </c>
    </row>
    <row r="8" spans="1:10" x14ac:dyDescent="0.2">
      <c r="A8" s="9">
        <v>3</v>
      </c>
      <c r="B8" s="128">
        <v>7033079</v>
      </c>
      <c r="C8" s="128"/>
      <c r="D8" s="128">
        <v>7034679</v>
      </c>
      <c r="E8" s="128"/>
      <c r="F8" s="12">
        <v>40970</v>
      </c>
      <c r="G8" s="169"/>
      <c r="H8" s="169"/>
      <c r="I8" s="32">
        <v>189363.4</v>
      </c>
      <c r="J8" s="32">
        <f t="shared" si="0"/>
        <v>151490.72</v>
      </c>
    </row>
    <row r="9" spans="1:10" x14ac:dyDescent="0.2">
      <c r="A9" s="9">
        <v>4</v>
      </c>
      <c r="B9" s="128">
        <v>7030290</v>
      </c>
      <c r="C9" s="128"/>
      <c r="D9" s="128">
        <v>7030291</v>
      </c>
      <c r="E9" s="128"/>
      <c r="F9" s="12">
        <v>44105</v>
      </c>
      <c r="G9" s="169"/>
      <c r="H9" s="169"/>
      <c r="I9" s="32">
        <v>312058.88</v>
      </c>
      <c r="J9" s="32">
        <f t="shared" si="0"/>
        <v>249647.10400000002</v>
      </c>
    </row>
    <row r="10" spans="1:10" x14ac:dyDescent="0.2">
      <c r="A10" s="9">
        <v>5</v>
      </c>
      <c r="B10" s="128">
        <v>7032528</v>
      </c>
      <c r="C10" s="128"/>
      <c r="D10" s="128">
        <v>7032529</v>
      </c>
      <c r="E10" s="128"/>
      <c r="F10" s="12">
        <v>44586</v>
      </c>
      <c r="G10" s="169" t="s">
        <v>1505</v>
      </c>
      <c r="H10" s="169"/>
      <c r="I10" s="32">
        <v>195856.91</v>
      </c>
      <c r="J10" s="32">
        <f t="shared" si="0"/>
        <v>156685.52800000002</v>
      </c>
    </row>
    <row r="11" spans="1:10" x14ac:dyDescent="0.2">
      <c r="A11" s="9">
        <v>6</v>
      </c>
      <c r="B11" s="128">
        <v>7031793</v>
      </c>
      <c r="C11" s="128"/>
      <c r="D11" s="128">
        <v>7031794</v>
      </c>
      <c r="E11" s="128"/>
      <c r="F11" s="12">
        <v>45222</v>
      </c>
      <c r="G11" s="169" t="s">
        <v>1646</v>
      </c>
      <c r="H11" s="169"/>
      <c r="I11" s="32">
        <v>368231.3</v>
      </c>
      <c r="J11" s="32">
        <f t="shared" si="0"/>
        <v>294585.03999999998</v>
      </c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1145069.8600000001</v>
      </c>
      <c r="J14" s="33">
        <f>SUM(J6:J13)</f>
        <v>916055.88800000004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 t="s">
        <v>636</v>
      </c>
      <c r="C19" s="128"/>
      <c r="D19" s="9">
        <v>12458</v>
      </c>
      <c r="E19" s="182">
        <v>35674</v>
      </c>
      <c r="F19" s="128"/>
      <c r="G19" s="183" t="s">
        <v>637</v>
      </c>
      <c r="H19" s="128"/>
      <c r="I19" s="205">
        <v>34644.75</v>
      </c>
      <c r="J19" s="205"/>
    </row>
    <row r="20" spans="1:10" x14ac:dyDescent="0.2">
      <c r="A20" s="9">
        <v>2</v>
      </c>
      <c r="B20" s="183" t="s">
        <v>638</v>
      </c>
      <c r="C20" s="128"/>
      <c r="D20" s="9">
        <v>12459</v>
      </c>
      <c r="E20" s="182">
        <v>35674</v>
      </c>
      <c r="F20" s="128"/>
      <c r="G20" s="183" t="s">
        <v>639</v>
      </c>
      <c r="H20" s="128"/>
      <c r="I20" s="205">
        <v>26918.15</v>
      </c>
      <c r="J20" s="205"/>
    </row>
    <row r="21" spans="1:10" x14ac:dyDescent="0.2">
      <c r="A21" s="9">
        <v>3</v>
      </c>
      <c r="B21" s="183" t="s">
        <v>640</v>
      </c>
      <c r="C21" s="128"/>
      <c r="D21" s="9">
        <v>12457</v>
      </c>
      <c r="E21" s="182">
        <v>35674</v>
      </c>
      <c r="F21" s="128"/>
      <c r="G21" s="183" t="s">
        <v>641</v>
      </c>
      <c r="H21" s="128"/>
      <c r="I21" s="205">
        <v>37665.160000000003</v>
      </c>
      <c r="J21" s="205"/>
    </row>
    <row r="22" spans="1:10" x14ac:dyDescent="0.2">
      <c r="A22" s="9">
        <v>4</v>
      </c>
      <c r="B22" s="183" t="s">
        <v>642</v>
      </c>
      <c r="C22" s="128"/>
      <c r="D22" s="9">
        <v>12460</v>
      </c>
      <c r="E22" s="182">
        <v>35674</v>
      </c>
      <c r="F22" s="128"/>
      <c r="G22" s="183" t="s">
        <v>643</v>
      </c>
      <c r="H22" s="128"/>
      <c r="I22" s="205">
        <v>54117.47</v>
      </c>
      <c r="J22" s="205"/>
    </row>
    <row r="23" spans="1:10" x14ac:dyDescent="0.2">
      <c r="A23" s="9">
        <v>5</v>
      </c>
      <c r="B23" s="183" t="s">
        <v>644</v>
      </c>
      <c r="C23" s="128"/>
      <c r="D23" s="9">
        <v>13202</v>
      </c>
      <c r="E23" s="182">
        <v>35765</v>
      </c>
      <c r="F23" s="128"/>
      <c r="G23" s="183" t="s">
        <v>645</v>
      </c>
      <c r="H23" s="128"/>
      <c r="I23" s="205">
        <v>29280.02</v>
      </c>
      <c r="J23" s="205"/>
    </row>
    <row r="24" spans="1:10" x14ac:dyDescent="0.2">
      <c r="A24" s="9">
        <v>6</v>
      </c>
      <c r="B24" s="183" t="s">
        <v>646</v>
      </c>
      <c r="C24" s="128"/>
      <c r="D24" s="9">
        <v>13203</v>
      </c>
      <c r="E24" s="182">
        <v>36342</v>
      </c>
      <c r="F24" s="128"/>
      <c r="G24" s="183" t="s">
        <v>647</v>
      </c>
      <c r="H24" s="128"/>
      <c r="I24" s="205">
        <v>49551.6</v>
      </c>
      <c r="J24" s="205"/>
    </row>
    <row r="25" spans="1:10" x14ac:dyDescent="0.2">
      <c r="A25" s="9">
        <v>7</v>
      </c>
      <c r="B25" s="183">
        <v>434900</v>
      </c>
      <c r="C25" s="128"/>
      <c r="D25" s="9">
        <v>22957</v>
      </c>
      <c r="E25" s="196" t="s">
        <v>648</v>
      </c>
      <c r="F25" s="128"/>
      <c r="G25" s="225" t="s">
        <v>649</v>
      </c>
      <c r="H25" s="128"/>
      <c r="I25" s="205">
        <v>17202</v>
      </c>
      <c r="J25" s="205"/>
    </row>
    <row r="26" spans="1:10" x14ac:dyDescent="0.2">
      <c r="A26" s="9">
        <v>8</v>
      </c>
      <c r="B26" s="128">
        <v>437250</v>
      </c>
      <c r="C26" s="128"/>
      <c r="D26" s="9">
        <v>79036</v>
      </c>
      <c r="E26" s="182">
        <v>40563</v>
      </c>
      <c r="F26" s="128"/>
      <c r="G26" s="128" t="s">
        <v>650</v>
      </c>
      <c r="H26" s="128"/>
      <c r="I26" s="205">
        <v>34607.120000000003</v>
      </c>
      <c r="J26" s="205"/>
    </row>
    <row r="27" spans="1:10" x14ac:dyDescent="0.2">
      <c r="A27" s="9">
        <v>9</v>
      </c>
      <c r="B27" s="128">
        <v>437077</v>
      </c>
      <c r="C27" s="128"/>
      <c r="D27" s="9">
        <v>77241</v>
      </c>
      <c r="E27" s="182">
        <v>39854</v>
      </c>
      <c r="F27" s="128"/>
      <c r="G27" s="128" t="s">
        <v>651</v>
      </c>
      <c r="H27" s="128"/>
      <c r="I27" s="368">
        <v>37483.4</v>
      </c>
      <c r="J27" s="368"/>
    </row>
    <row r="28" spans="1:10" x14ac:dyDescent="0.2">
      <c r="A28" s="27">
        <v>10</v>
      </c>
      <c r="B28" s="128">
        <v>437251</v>
      </c>
      <c r="C28" s="128"/>
      <c r="D28" s="27">
        <v>79037</v>
      </c>
      <c r="E28" s="266"/>
      <c r="F28" s="266"/>
      <c r="G28" s="128" t="s">
        <v>652</v>
      </c>
      <c r="H28" s="128"/>
      <c r="I28" s="369">
        <v>56480.26</v>
      </c>
      <c r="J28" s="370"/>
    </row>
    <row r="29" spans="1:10" x14ac:dyDescent="0.2">
      <c r="A29" s="9">
        <v>11</v>
      </c>
      <c r="B29" s="371">
        <v>437596</v>
      </c>
      <c r="C29" s="372"/>
      <c r="D29" s="9">
        <v>82675</v>
      </c>
      <c r="E29" s="182">
        <v>41304</v>
      </c>
      <c r="F29" s="128"/>
      <c r="G29" s="371" t="s">
        <v>12</v>
      </c>
      <c r="H29" s="372"/>
      <c r="I29" s="205">
        <v>47064.24</v>
      </c>
      <c r="J29" s="205"/>
    </row>
    <row r="30" spans="1:10" x14ac:dyDescent="0.2">
      <c r="A30" s="9">
        <v>12</v>
      </c>
      <c r="B30" s="128">
        <v>437595</v>
      </c>
      <c r="C30" s="128"/>
      <c r="D30" s="9">
        <v>82674</v>
      </c>
      <c r="E30" s="125">
        <v>40204</v>
      </c>
      <c r="F30" s="204"/>
      <c r="G30" s="192" t="s">
        <v>824</v>
      </c>
      <c r="H30" s="204"/>
      <c r="I30" s="205">
        <v>46839.59</v>
      </c>
      <c r="J30" s="205"/>
    </row>
    <row r="31" spans="1:10" x14ac:dyDescent="0.2">
      <c r="A31" s="9">
        <v>13</v>
      </c>
      <c r="B31" s="128">
        <v>437594</v>
      </c>
      <c r="C31" s="128"/>
      <c r="D31" s="9">
        <v>82673</v>
      </c>
      <c r="E31" s="182">
        <v>40247</v>
      </c>
      <c r="F31" s="128"/>
      <c r="G31" s="227" t="s">
        <v>15</v>
      </c>
      <c r="H31" s="228"/>
      <c r="I31" s="205">
        <v>52286.73</v>
      </c>
      <c r="J31" s="205"/>
    </row>
    <row r="32" spans="1:10" x14ac:dyDescent="0.2">
      <c r="A32" s="9">
        <v>14</v>
      </c>
      <c r="B32" s="128">
        <v>437252</v>
      </c>
      <c r="C32" s="128"/>
      <c r="D32" s="9">
        <v>79039</v>
      </c>
      <c r="E32" s="182">
        <v>40241</v>
      </c>
      <c r="F32" s="128"/>
      <c r="G32" s="227" t="s">
        <v>18</v>
      </c>
      <c r="H32" s="228"/>
      <c r="I32" s="205">
        <v>34358.83</v>
      </c>
      <c r="J32" s="205"/>
    </row>
    <row r="33" spans="1:10" x14ac:dyDescent="0.2">
      <c r="A33" s="19">
        <v>15</v>
      </c>
      <c r="B33" s="137"/>
      <c r="C33" s="137"/>
      <c r="D33" s="19">
        <v>79051</v>
      </c>
      <c r="E33" s="196">
        <v>42201</v>
      </c>
      <c r="F33" s="137"/>
      <c r="G33" s="137" t="s">
        <v>654</v>
      </c>
      <c r="H33" s="137"/>
      <c r="I33" s="212">
        <v>148873.96</v>
      </c>
      <c r="J33" s="212"/>
    </row>
    <row r="34" spans="1:10" x14ac:dyDescent="0.2">
      <c r="A34" s="9">
        <v>16</v>
      </c>
      <c r="B34" s="128">
        <v>437736</v>
      </c>
      <c r="C34" s="128"/>
      <c r="D34" s="9">
        <v>84043</v>
      </c>
      <c r="E34" s="182">
        <v>40683</v>
      </c>
      <c r="F34" s="128"/>
      <c r="G34" s="128" t="s">
        <v>655</v>
      </c>
      <c r="H34" s="128"/>
      <c r="I34" s="205">
        <v>45033.55</v>
      </c>
      <c r="J34" s="205"/>
    </row>
    <row r="35" spans="1:10" x14ac:dyDescent="0.2">
      <c r="A35" s="19"/>
      <c r="B35" s="164"/>
      <c r="C35" s="165"/>
      <c r="D35" s="19">
        <v>87270</v>
      </c>
      <c r="E35" s="164" t="s">
        <v>864</v>
      </c>
      <c r="F35" s="165"/>
      <c r="G35" s="164"/>
      <c r="H35" s="165"/>
      <c r="I35" s="361">
        <v>10196.200000000001</v>
      </c>
      <c r="J35" s="362"/>
    </row>
    <row r="36" spans="1:10" x14ac:dyDescent="0.2">
      <c r="A36" s="19">
        <v>17</v>
      </c>
      <c r="B36" s="164"/>
      <c r="C36" s="165"/>
      <c r="D36" s="19">
        <v>82676</v>
      </c>
      <c r="E36" s="162">
        <v>41870</v>
      </c>
      <c r="F36" s="165"/>
      <c r="G36" s="164" t="s">
        <v>656</v>
      </c>
      <c r="H36" s="165"/>
      <c r="I36" s="361">
        <v>42454.71</v>
      </c>
      <c r="J36" s="362"/>
    </row>
    <row r="37" spans="1:10" x14ac:dyDescent="0.2">
      <c r="A37" s="19">
        <v>18</v>
      </c>
      <c r="B37" s="137"/>
      <c r="C37" s="137"/>
      <c r="D37" s="19">
        <v>84041</v>
      </c>
      <c r="E37" s="196">
        <v>41344</v>
      </c>
      <c r="F37" s="137"/>
      <c r="G37" s="137" t="s">
        <v>657</v>
      </c>
      <c r="H37" s="137"/>
      <c r="I37" s="212">
        <v>91082.7</v>
      </c>
      <c r="J37" s="212"/>
    </row>
    <row r="38" spans="1:10" x14ac:dyDescent="0.2">
      <c r="A38" s="19">
        <v>19</v>
      </c>
      <c r="B38" s="164"/>
      <c r="C38" s="165"/>
      <c r="D38" s="19">
        <v>84040</v>
      </c>
      <c r="E38" s="162">
        <v>41786</v>
      </c>
      <c r="F38" s="165"/>
      <c r="G38" s="164" t="s">
        <v>860</v>
      </c>
      <c r="H38" s="165"/>
      <c r="I38" s="361">
        <v>38268.75</v>
      </c>
      <c r="J38" s="362"/>
    </row>
    <row r="39" spans="1:10" x14ac:dyDescent="0.2">
      <c r="A39" s="63">
        <v>20</v>
      </c>
      <c r="B39" s="363"/>
      <c r="C39" s="364"/>
      <c r="D39" s="63">
        <v>84044</v>
      </c>
      <c r="E39" s="367">
        <v>41836</v>
      </c>
      <c r="F39" s="364"/>
      <c r="G39" s="363" t="s">
        <v>861</v>
      </c>
      <c r="H39" s="364"/>
      <c r="I39" s="365">
        <v>53524.2</v>
      </c>
      <c r="J39" s="366"/>
    </row>
    <row r="40" spans="1:10" x14ac:dyDescent="0.2">
      <c r="A40" s="19"/>
      <c r="B40" s="164"/>
      <c r="C40" s="165"/>
      <c r="D40" s="19">
        <v>88870</v>
      </c>
      <c r="E40" s="164" t="s">
        <v>912</v>
      </c>
      <c r="F40" s="165"/>
      <c r="G40" s="164"/>
      <c r="H40" s="165"/>
      <c r="I40" s="361">
        <v>4713.6000000000004</v>
      </c>
      <c r="J40" s="362"/>
    </row>
    <row r="41" spans="1:10" x14ac:dyDescent="0.2">
      <c r="A41" s="9">
        <v>21</v>
      </c>
      <c r="B41" s="128"/>
      <c r="C41" s="128"/>
      <c r="D41" s="9">
        <v>85311</v>
      </c>
      <c r="E41" s="128"/>
      <c r="F41" s="128"/>
      <c r="G41" s="128" t="s">
        <v>914</v>
      </c>
      <c r="H41" s="128"/>
      <c r="I41" s="205">
        <v>1183.33</v>
      </c>
      <c r="J41" s="205"/>
    </row>
    <row r="42" spans="1:10" x14ac:dyDescent="0.2">
      <c r="A42" s="19"/>
      <c r="B42" s="137"/>
      <c r="C42" s="137"/>
      <c r="D42" s="19">
        <v>90189</v>
      </c>
      <c r="E42" s="137" t="s">
        <v>939</v>
      </c>
      <c r="F42" s="137"/>
      <c r="G42" s="137"/>
      <c r="H42" s="137"/>
      <c r="I42" s="212">
        <v>6163.06</v>
      </c>
      <c r="J42" s="212"/>
    </row>
    <row r="43" spans="1:10" x14ac:dyDescent="0.2">
      <c r="A43" s="19">
        <v>22</v>
      </c>
      <c r="B43" s="137"/>
      <c r="C43" s="137"/>
      <c r="D43" s="19">
        <v>84039</v>
      </c>
      <c r="E43" s="196">
        <v>41836</v>
      </c>
      <c r="F43" s="137"/>
      <c r="G43" s="137" t="s">
        <v>997</v>
      </c>
      <c r="H43" s="137"/>
      <c r="I43" s="212">
        <v>45874.9</v>
      </c>
      <c r="J43" s="212"/>
    </row>
    <row r="44" spans="1:10" x14ac:dyDescent="0.2">
      <c r="A44" s="19">
        <v>23</v>
      </c>
      <c r="B44" s="137"/>
      <c r="C44" s="137"/>
      <c r="D44" s="19">
        <v>84042</v>
      </c>
      <c r="E44" s="196">
        <v>41836</v>
      </c>
      <c r="F44" s="137"/>
      <c r="G44" s="137" t="s">
        <v>998</v>
      </c>
      <c r="H44" s="137"/>
      <c r="I44" s="212">
        <v>46242.8</v>
      </c>
      <c r="J44" s="212"/>
    </row>
    <row r="45" spans="1:10" x14ac:dyDescent="0.2">
      <c r="A45" s="19">
        <v>24</v>
      </c>
      <c r="B45" s="137"/>
      <c r="C45" s="137"/>
      <c r="D45" s="19">
        <v>86165</v>
      </c>
      <c r="E45" s="196">
        <v>41856</v>
      </c>
      <c r="F45" s="137"/>
      <c r="G45" s="137" t="s">
        <v>996</v>
      </c>
      <c r="H45" s="137"/>
      <c r="I45" s="212">
        <v>44413.98</v>
      </c>
      <c r="J45" s="212"/>
    </row>
    <row r="46" spans="1:10" x14ac:dyDescent="0.2">
      <c r="A46" s="19">
        <v>25</v>
      </c>
      <c r="B46" s="236"/>
      <c r="C46" s="236"/>
      <c r="D46" s="19">
        <v>88336</v>
      </c>
      <c r="E46" s="196">
        <v>41786</v>
      </c>
      <c r="F46" s="137"/>
      <c r="G46" s="137" t="s">
        <v>1003</v>
      </c>
      <c r="H46" s="137"/>
      <c r="I46" s="212">
        <v>55411.43</v>
      </c>
      <c r="J46" s="212"/>
    </row>
    <row r="47" spans="1:10" x14ac:dyDescent="0.2">
      <c r="A47" s="19">
        <v>26</v>
      </c>
      <c r="B47" s="236"/>
      <c r="C47" s="236"/>
      <c r="D47" s="19">
        <v>88341</v>
      </c>
      <c r="E47" s="196">
        <v>41794</v>
      </c>
      <c r="F47" s="137"/>
      <c r="G47" s="137" t="s">
        <v>1004</v>
      </c>
      <c r="H47" s="137"/>
      <c r="I47" s="212">
        <v>41822.51</v>
      </c>
      <c r="J47" s="212"/>
    </row>
    <row r="48" spans="1:10" x14ac:dyDescent="0.2">
      <c r="A48" s="19"/>
      <c r="B48" s="137"/>
      <c r="C48" s="137"/>
      <c r="D48" s="19">
        <v>92742</v>
      </c>
      <c r="E48" s="137" t="s">
        <v>1009</v>
      </c>
      <c r="F48" s="137"/>
      <c r="G48" s="137"/>
      <c r="H48" s="137"/>
      <c r="I48" s="212">
        <v>11661</v>
      </c>
      <c r="J48" s="212"/>
    </row>
    <row r="49" spans="1:10" x14ac:dyDescent="0.2">
      <c r="A49" s="19">
        <v>27</v>
      </c>
      <c r="B49" s="137"/>
      <c r="C49" s="137"/>
      <c r="D49" s="19">
        <v>88342</v>
      </c>
      <c r="E49" s="303">
        <v>42369</v>
      </c>
      <c r="F49" s="228"/>
      <c r="G49" s="137" t="s">
        <v>1057</v>
      </c>
      <c r="H49" s="137"/>
      <c r="I49" s="212">
        <v>55974.17</v>
      </c>
      <c r="J49" s="212"/>
    </row>
    <row r="50" spans="1:10" x14ac:dyDescent="0.2">
      <c r="A50" s="19">
        <v>28</v>
      </c>
      <c r="B50" s="137"/>
      <c r="C50" s="137"/>
      <c r="D50" s="19">
        <v>92848</v>
      </c>
      <c r="E50" s="196">
        <v>43038</v>
      </c>
      <c r="F50" s="137"/>
      <c r="G50" s="137" t="s">
        <v>1121</v>
      </c>
      <c r="H50" s="137"/>
      <c r="I50" s="212">
        <v>65181.77</v>
      </c>
      <c r="J50" s="212"/>
    </row>
    <row r="51" spans="1:10" x14ac:dyDescent="0.2">
      <c r="A51" s="19">
        <v>30</v>
      </c>
      <c r="B51" s="137"/>
      <c r="C51" s="137"/>
      <c r="D51" s="19">
        <v>75610</v>
      </c>
      <c r="E51" s="196">
        <v>43549</v>
      </c>
      <c r="F51" s="137"/>
      <c r="G51" s="137" t="s">
        <v>1068</v>
      </c>
      <c r="H51" s="137"/>
      <c r="I51" s="212">
        <v>168380.38</v>
      </c>
      <c r="J51" s="212"/>
    </row>
    <row r="52" spans="1:10" s="60" customFormat="1" x14ac:dyDescent="0.2">
      <c r="A52" s="19">
        <v>31</v>
      </c>
      <c r="B52" s="137"/>
      <c r="C52" s="137"/>
      <c r="D52" s="19">
        <v>92857</v>
      </c>
      <c r="E52" s="162">
        <v>43480</v>
      </c>
      <c r="F52" s="165"/>
      <c r="G52" s="137" t="s">
        <v>1069</v>
      </c>
      <c r="H52" s="137"/>
      <c r="I52" s="212">
        <v>110683.15</v>
      </c>
      <c r="J52" s="212"/>
    </row>
    <row r="53" spans="1:10" x14ac:dyDescent="0.2">
      <c r="A53" s="19">
        <v>32</v>
      </c>
      <c r="B53" s="137"/>
      <c r="C53" s="137"/>
      <c r="D53" s="19">
        <v>98716</v>
      </c>
      <c r="E53" s="137"/>
      <c r="F53" s="137"/>
      <c r="G53" s="137" t="s">
        <v>1313</v>
      </c>
      <c r="H53" s="137"/>
      <c r="I53" s="212">
        <v>116865.9</v>
      </c>
      <c r="J53" s="212"/>
    </row>
    <row r="54" spans="1:10" x14ac:dyDescent="0.2">
      <c r="A54" s="9">
        <v>33</v>
      </c>
      <c r="B54" s="128"/>
      <c r="C54" s="128"/>
      <c r="D54" s="9">
        <v>108891</v>
      </c>
      <c r="E54" s="128"/>
      <c r="F54" s="128"/>
      <c r="G54" s="128" t="s">
        <v>1556</v>
      </c>
      <c r="H54" s="128"/>
      <c r="I54" s="205">
        <v>170723.88</v>
      </c>
      <c r="J54" s="205"/>
    </row>
    <row r="55" spans="1:10" x14ac:dyDescent="0.2">
      <c r="A55" s="26"/>
      <c r="B55" s="236"/>
      <c r="C55" s="236"/>
      <c r="D55" s="58">
        <v>113803</v>
      </c>
      <c r="E55" s="151"/>
      <c r="F55" s="151"/>
      <c r="G55" s="151" t="s">
        <v>1614</v>
      </c>
      <c r="H55" s="151"/>
      <c r="I55" s="356">
        <v>107473</v>
      </c>
      <c r="J55" s="356"/>
    </row>
    <row r="56" spans="1:10" x14ac:dyDescent="0.2">
      <c r="A56" s="26"/>
      <c r="B56" s="236"/>
      <c r="C56" s="236"/>
      <c r="D56" s="82">
        <v>111235</v>
      </c>
      <c r="E56" s="198"/>
      <c r="F56" s="198"/>
      <c r="G56" s="198" t="s">
        <v>1654</v>
      </c>
      <c r="H56" s="198"/>
      <c r="I56" s="223">
        <v>112500</v>
      </c>
      <c r="J56" s="223"/>
    </row>
    <row r="57" spans="1:10" x14ac:dyDescent="0.2">
      <c r="A57" s="26"/>
      <c r="B57" s="236"/>
      <c r="C57" s="236"/>
      <c r="D57" s="58"/>
      <c r="E57" s="151"/>
      <c r="F57" s="151"/>
      <c r="G57" s="198" t="s">
        <v>1655</v>
      </c>
      <c r="H57" s="198"/>
      <c r="I57" s="223">
        <v>109740</v>
      </c>
      <c r="J57" s="223"/>
    </row>
    <row r="58" spans="1:10" x14ac:dyDescent="0.2">
      <c r="A58" s="29"/>
      <c r="B58" s="236"/>
      <c r="C58" s="236"/>
      <c r="D58" s="62"/>
      <c r="E58" s="151"/>
      <c r="F58" s="151"/>
      <c r="G58" s="151"/>
      <c r="H58" s="151"/>
      <c r="I58" s="360"/>
      <c r="J58" s="360"/>
    </row>
    <row r="59" spans="1:10" x14ac:dyDescent="0.2">
      <c r="A59" s="13"/>
      <c r="B59" s="13"/>
      <c r="C59" s="13"/>
      <c r="D59" s="13"/>
      <c r="E59" s="13"/>
      <c r="F59" s="13"/>
      <c r="G59" s="13"/>
      <c r="H59" s="13" t="s">
        <v>33</v>
      </c>
      <c r="I59" s="217">
        <f>SUM(I19:J58)</f>
        <v>2262942.2499999995</v>
      </c>
      <c r="J59" s="217"/>
    </row>
    <row r="60" spans="1:10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 x14ac:dyDescent="0.25">
      <c r="A61" s="15" t="s">
        <v>46</v>
      </c>
      <c r="B61" s="16"/>
      <c r="C61" s="16"/>
      <c r="D61" s="16"/>
      <c r="E61" s="16"/>
      <c r="F61" s="16"/>
      <c r="G61" s="16"/>
      <c r="H61" s="16"/>
      <c r="I61" s="149" t="s">
        <v>47</v>
      </c>
      <c r="J61" s="150"/>
    </row>
    <row r="62" spans="1:10" x14ac:dyDescent="0.2">
      <c r="A62" s="144" t="s">
        <v>48</v>
      </c>
      <c r="B62" s="144"/>
      <c r="C62" s="144"/>
      <c r="D62" s="144"/>
      <c r="E62" s="144"/>
      <c r="F62" s="144"/>
      <c r="G62" s="144"/>
      <c r="H62" s="144"/>
      <c r="I62" s="148">
        <f>I14*80%</f>
        <v>916055.88800000015</v>
      </c>
      <c r="J62" s="148"/>
    </row>
    <row r="63" spans="1:10" x14ac:dyDescent="0.2">
      <c r="A63" s="144" t="s">
        <v>49</v>
      </c>
      <c r="B63" s="144"/>
      <c r="C63" s="144"/>
      <c r="D63" s="144"/>
      <c r="E63" s="144"/>
      <c r="F63" s="144"/>
      <c r="G63" s="144"/>
      <c r="H63" s="144"/>
      <c r="I63" s="184">
        <f>493000-43309-19355+305983</f>
        <v>736319</v>
      </c>
      <c r="J63" s="184"/>
    </row>
    <row r="64" spans="1:10" x14ac:dyDescent="0.2">
      <c r="A64" s="185" t="s">
        <v>838</v>
      </c>
      <c r="B64" s="142"/>
      <c r="C64" s="142"/>
      <c r="D64" s="142"/>
      <c r="E64" s="142"/>
      <c r="F64" s="142"/>
      <c r="G64" s="142"/>
      <c r="H64" s="143"/>
      <c r="I64" s="285">
        <v>300000</v>
      </c>
      <c r="J64" s="286"/>
    </row>
    <row r="65" spans="1:10" x14ac:dyDescent="0.2">
      <c r="A65" s="185" t="s">
        <v>897</v>
      </c>
      <c r="B65" s="142"/>
      <c r="C65" s="142"/>
      <c r="D65" s="142"/>
      <c r="E65" s="142"/>
      <c r="F65" s="142"/>
      <c r="G65" s="142"/>
      <c r="H65" s="143"/>
      <c r="I65" s="146">
        <v>-16515</v>
      </c>
      <c r="J65" s="147"/>
    </row>
    <row r="66" spans="1:10" x14ac:dyDescent="0.2">
      <c r="A66" s="185" t="s">
        <v>915</v>
      </c>
      <c r="B66" s="142"/>
      <c r="C66" s="142"/>
      <c r="D66" s="142"/>
      <c r="E66" s="142"/>
      <c r="F66" s="142"/>
      <c r="G66" s="142"/>
      <c r="H66" s="143"/>
      <c r="I66" s="146">
        <v>-13217.6</v>
      </c>
      <c r="J66" s="147"/>
    </row>
    <row r="67" spans="1:10" x14ac:dyDescent="0.2">
      <c r="A67" s="186" t="s">
        <v>995</v>
      </c>
      <c r="B67" s="142"/>
      <c r="C67" s="142"/>
      <c r="D67" s="142"/>
      <c r="E67" s="142"/>
      <c r="F67" s="142"/>
      <c r="G67" s="142"/>
      <c r="H67" s="143"/>
      <c r="I67" s="146">
        <v>150000</v>
      </c>
      <c r="J67" s="147"/>
    </row>
    <row r="68" spans="1:10" x14ac:dyDescent="0.2">
      <c r="A68" s="186" t="s">
        <v>1059</v>
      </c>
      <c r="B68" s="142"/>
      <c r="C68" s="142"/>
      <c r="D68" s="142"/>
      <c r="E68" s="142"/>
      <c r="F68" s="142"/>
      <c r="G68" s="142"/>
      <c r="H68" s="143"/>
      <c r="I68" s="146">
        <v>300000</v>
      </c>
      <c r="J68" s="147"/>
    </row>
    <row r="69" spans="1:10" x14ac:dyDescent="0.2">
      <c r="A69" s="186" t="s">
        <v>1425</v>
      </c>
      <c r="B69" s="142"/>
      <c r="C69" s="142"/>
      <c r="D69" s="142"/>
      <c r="E69" s="142"/>
      <c r="F69" s="142"/>
      <c r="G69" s="142"/>
      <c r="H69" s="143"/>
      <c r="I69" s="146">
        <v>143610</v>
      </c>
      <c r="J69" s="147"/>
    </row>
    <row r="70" spans="1:10" x14ac:dyDescent="0.2">
      <c r="A70" s="186" t="s">
        <v>1424</v>
      </c>
      <c r="B70" s="142"/>
      <c r="C70" s="142"/>
      <c r="D70" s="142"/>
      <c r="E70" s="142"/>
      <c r="F70" s="142"/>
      <c r="G70" s="142"/>
      <c r="H70" s="143"/>
      <c r="I70" s="146">
        <v>-143610</v>
      </c>
      <c r="J70" s="147"/>
    </row>
    <row r="71" spans="1:10" x14ac:dyDescent="0.2">
      <c r="A71" s="187" t="s">
        <v>1443</v>
      </c>
      <c r="B71" s="188"/>
      <c r="C71" s="188"/>
      <c r="D71" s="188"/>
      <c r="E71" s="188"/>
      <c r="F71" s="188"/>
      <c r="G71" s="188"/>
      <c r="H71" s="189"/>
      <c r="I71" s="190">
        <v>-94595.47</v>
      </c>
      <c r="J71" s="191"/>
    </row>
    <row r="72" spans="1:10" x14ac:dyDescent="0.2">
      <c r="A72" s="141" t="s">
        <v>1484</v>
      </c>
      <c r="B72" s="357"/>
      <c r="C72" s="357"/>
      <c r="D72" s="357"/>
      <c r="E72" s="357"/>
      <c r="F72" s="357"/>
      <c r="G72" s="357"/>
      <c r="H72" s="318"/>
      <c r="I72" s="358">
        <v>36333</v>
      </c>
      <c r="J72" s="359"/>
    </row>
    <row r="73" spans="1:10" x14ac:dyDescent="0.2">
      <c r="A73" s="187" t="s">
        <v>1493</v>
      </c>
      <c r="B73" s="188"/>
      <c r="C73" s="188"/>
      <c r="D73" s="188"/>
      <c r="E73" s="188"/>
      <c r="F73" s="188"/>
      <c r="G73" s="188"/>
      <c r="H73" s="189"/>
      <c r="I73" s="190">
        <v>-36255.980000000003</v>
      </c>
      <c r="J73" s="191"/>
    </row>
    <row r="74" spans="1:10" x14ac:dyDescent="0.2">
      <c r="A74" s="185" t="s">
        <v>1506</v>
      </c>
      <c r="B74" s="142"/>
      <c r="C74" s="142"/>
      <c r="D74" s="142"/>
      <c r="E74" s="142"/>
      <c r="F74" s="142"/>
      <c r="G74" s="142"/>
      <c r="H74" s="143"/>
      <c r="I74" s="325">
        <v>-36333</v>
      </c>
      <c r="J74" s="326"/>
    </row>
    <row r="75" spans="1:10" x14ac:dyDescent="0.2">
      <c r="A75" s="185" t="s">
        <v>1557</v>
      </c>
      <c r="B75" s="142"/>
      <c r="C75" s="142"/>
      <c r="D75" s="142"/>
      <c r="E75" s="142"/>
      <c r="F75" s="142"/>
      <c r="G75" s="142"/>
      <c r="H75" s="143"/>
      <c r="I75" s="325">
        <v>82919.820000000007</v>
      </c>
      <c r="J75" s="326"/>
    </row>
    <row r="76" spans="1:10" x14ac:dyDescent="0.2">
      <c r="A76" s="187"/>
      <c r="B76" s="188"/>
      <c r="C76" s="188"/>
      <c r="D76" s="188"/>
      <c r="E76" s="188"/>
      <c r="F76" s="188"/>
      <c r="G76" s="188"/>
      <c r="H76" s="189"/>
      <c r="I76" s="190"/>
      <c r="J76" s="191"/>
    </row>
    <row r="77" spans="1:10" x14ac:dyDescent="0.2">
      <c r="A77" s="187"/>
      <c r="B77" s="188"/>
      <c r="C77" s="188"/>
      <c r="D77" s="188"/>
      <c r="E77" s="188"/>
      <c r="F77" s="188"/>
      <c r="G77" s="188"/>
      <c r="H77" s="189"/>
      <c r="I77" s="190"/>
      <c r="J77" s="191"/>
    </row>
    <row r="78" spans="1:10" ht="13.5" thickBot="1" x14ac:dyDescent="0.25">
      <c r="A78" s="144" t="s">
        <v>50</v>
      </c>
      <c r="B78" s="144"/>
      <c r="C78" s="144"/>
      <c r="D78" s="144"/>
      <c r="E78" s="144"/>
      <c r="F78" s="144"/>
      <c r="G78" s="144"/>
      <c r="H78" s="144"/>
      <c r="I78" s="145">
        <f>I59</f>
        <v>2262942.2499999995</v>
      </c>
      <c r="J78" s="145"/>
    </row>
    <row r="79" spans="1:10" ht="13.5" thickTop="1" x14ac:dyDescent="0.2">
      <c r="H79" s="18" t="s">
        <v>33</v>
      </c>
      <c r="I79" s="316">
        <f>I62+I63+I64+I65+I66+I67+I68+I69+I70+I71+I72+I73+I74+I75+I76+I77-I78</f>
        <v>61768.408000000287</v>
      </c>
      <c r="J79" s="317"/>
    </row>
    <row r="81" spans="1:10" ht="15" x14ac:dyDescent="0.25">
      <c r="A81" s="131" t="s">
        <v>51</v>
      </c>
      <c r="B81" s="132"/>
      <c r="C81" s="132"/>
      <c r="D81" s="132"/>
      <c r="E81" s="132"/>
      <c r="F81" s="132"/>
      <c r="G81" s="132"/>
      <c r="H81" s="132"/>
      <c r="I81" s="132"/>
      <c r="J81" s="133"/>
    </row>
    <row r="82" spans="1:10" x14ac:dyDescent="0.2">
      <c r="A82" s="207" t="s">
        <v>653</v>
      </c>
      <c r="B82" s="139"/>
      <c r="C82" s="139"/>
      <c r="D82" s="139"/>
      <c r="E82" s="139"/>
      <c r="F82" s="139"/>
      <c r="G82" s="139"/>
      <c r="H82" s="139"/>
      <c r="I82" s="139"/>
      <c r="J82" s="139"/>
    </row>
    <row r="83" spans="1:10" x14ac:dyDescent="0.2">
      <c r="A83" s="139"/>
      <c r="B83" s="139"/>
      <c r="C83" s="139"/>
      <c r="D83" s="139"/>
      <c r="E83" s="139"/>
      <c r="F83" s="139"/>
      <c r="G83" s="139"/>
      <c r="H83" s="139"/>
      <c r="I83" s="139"/>
      <c r="J83" s="139"/>
    </row>
    <row r="84" spans="1:10" x14ac:dyDescent="0.2">
      <c r="A84" s="139"/>
      <c r="B84" s="139"/>
      <c r="C84" s="139"/>
      <c r="D84" s="139"/>
      <c r="E84" s="139"/>
      <c r="F84" s="139"/>
      <c r="G84" s="139"/>
      <c r="H84" s="139"/>
      <c r="I84" s="139"/>
      <c r="J84" s="139"/>
    </row>
    <row r="85" spans="1:10" x14ac:dyDescent="0.2">
      <c r="A85" s="139"/>
      <c r="B85" s="139"/>
      <c r="C85" s="139"/>
      <c r="D85" s="139"/>
      <c r="E85" s="139"/>
      <c r="F85" s="139"/>
      <c r="G85" s="139"/>
      <c r="H85" s="139"/>
      <c r="I85" s="139"/>
      <c r="J85" s="139"/>
    </row>
    <row r="86" spans="1:10" x14ac:dyDescent="0.2">
      <c r="A86" s="139"/>
      <c r="B86" s="139"/>
      <c r="C86" s="139"/>
      <c r="D86" s="139"/>
      <c r="E86" s="139"/>
      <c r="F86" s="139"/>
      <c r="G86" s="139"/>
      <c r="H86" s="139"/>
      <c r="I86" s="139"/>
      <c r="J86" s="139"/>
    </row>
    <row r="87" spans="1:10" x14ac:dyDescent="0.2">
      <c r="A87" s="139"/>
      <c r="B87" s="139"/>
      <c r="C87" s="139"/>
      <c r="D87" s="139"/>
      <c r="E87" s="139"/>
      <c r="F87" s="139"/>
      <c r="G87" s="139"/>
      <c r="H87" s="139"/>
      <c r="I87" s="139"/>
      <c r="J87" s="139"/>
    </row>
  </sheetData>
  <mergeCells count="239">
    <mergeCell ref="E52:F52"/>
    <mergeCell ref="B57:C57"/>
    <mergeCell ref="E57:F57"/>
    <mergeCell ref="B52:C52"/>
    <mergeCell ref="G52:H52"/>
    <mergeCell ref="I67:J67"/>
    <mergeCell ref="I51:J51"/>
    <mergeCell ref="I52:J52"/>
    <mergeCell ref="B54:C54"/>
    <mergeCell ref="E54:F54"/>
    <mergeCell ref="G54:H54"/>
    <mergeCell ref="I54:J54"/>
    <mergeCell ref="B53:C53"/>
    <mergeCell ref="E53:F53"/>
    <mergeCell ref="I65:J65"/>
    <mergeCell ref="G53:H53"/>
    <mergeCell ref="I53:J53"/>
    <mergeCell ref="B51:C51"/>
    <mergeCell ref="E51:F51"/>
    <mergeCell ref="G51:H51"/>
    <mergeCell ref="B50:C50"/>
    <mergeCell ref="E50:F50"/>
    <mergeCell ref="I50:J50"/>
    <mergeCell ref="B43:C43"/>
    <mergeCell ref="E43:F43"/>
    <mergeCell ref="G43:H43"/>
    <mergeCell ref="I43:J43"/>
    <mergeCell ref="B44:C44"/>
    <mergeCell ref="E44:F44"/>
    <mergeCell ref="G44:H44"/>
    <mergeCell ref="I44:J44"/>
    <mergeCell ref="I45:J45"/>
    <mergeCell ref="B46:C46"/>
    <mergeCell ref="E46:F46"/>
    <mergeCell ref="G46:H46"/>
    <mergeCell ref="I46:J46"/>
    <mergeCell ref="I49:J49"/>
    <mergeCell ref="B45:C45"/>
    <mergeCell ref="B47:C47"/>
    <mergeCell ref="B48:C48"/>
    <mergeCell ref="G45:H45"/>
    <mergeCell ref="G50:H50"/>
    <mergeCell ref="I47:J47"/>
    <mergeCell ref="E49:F49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7:C7"/>
    <mergeCell ref="D7:E7"/>
    <mergeCell ref="G7:H7"/>
    <mergeCell ref="B6:C6"/>
    <mergeCell ref="D6:E6"/>
    <mergeCell ref="G6:H6"/>
    <mergeCell ref="B9:C9"/>
    <mergeCell ref="D9:E9"/>
    <mergeCell ref="B49:C49"/>
    <mergeCell ref="G49:H4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13:C13"/>
    <mergeCell ref="D13:E13"/>
    <mergeCell ref="G13:H13"/>
    <mergeCell ref="B12:C12"/>
    <mergeCell ref="D12:E12"/>
    <mergeCell ref="G12:H12"/>
    <mergeCell ref="A16:J16"/>
    <mergeCell ref="A17:A18"/>
    <mergeCell ref="B17:C18"/>
    <mergeCell ref="D17:D18"/>
    <mergeCell ref="E17:F18"/>
    <mergeCell ref="G17:H18"/>
    <mergeCell ref="I17:J18"/>
    <mergeCell ref="B20:C20"/>
    <mergeCell ref="E20:F20"/>
    <mergeCell ref="G20:H20"/>
    <mergeCell ref="I20:J20"/>
    <mergeCell ref="B19:C19"/>
    <mergeCell ref="E19:F19"/>
    <mergeCell ref="G19:H19"/>
    <mergeCell ref="I19:J19"/>
    <mergeCell ref="B22:C22"/>
    <mergeCell ref="E22:F22"/>
    <mergeCell ref="G22:H22"/>
    <mergeCell ref="I22:J22"/>
    <mergeCell ref="B21:C21"/>
    <mergeCell ref="E21:F21"/>
    <mergeCell ref="G21:H21"/>
    <mergeCell ref="I21:J21"/>
    <mergeCell ref="G25:H25"/>
    <mergeCell ref="I25:J25"/>
    <mergeCell ref="B23:C23"/>
    <mergeCell ref="E23:F23"/>
    <mergeCell ref="G23:H23"/>
    <mergeCell ref="I23:J23"/>
    <mergeCell ref="B26:C26"/>
    <mergeCell ref="E26:F26"/>
    <mergeCell ref="G26:H26"/>
    <mergeCell ref="I26:J26"/>
    <mergeCell ref="B24:C24"/>
    <mergeCell ref="E24:F24"/>
    <mergeCell ref="G24:H24"/>
    <mergeCell ref="I24:J24"/>
    <mergeCell ref="B25:C25"/>
    <mergeCell ref="E25:F25"/>
    <mergeCell ref="B27:C27"/>
    <mergeCell ref="E27:F27"/>
    <mergeCell ref="G27:H27"/>
    <mergeCell ref="I27:J27"/>
    <mergeCell ref="E30:F30"/>
    <mergeCell ref="E31:F31"/>
    <mergeCell ref="B28:C28"/>
    <mergeCell ref="E28:F28"/>
    <mergeCell ref="G28:H28"/>
    <mergeCell ref="I28:J28"/>
    <mergeCell ref="B29:C29"/>
    <mergeCell ref="I29:J29"/>
    <mergeCell ref="I30:J30"/>
    <mergeCell ref="I31:J31"/>
    <mergeCell ref="E29:F29"/>
    <mergeCell ref="G29:H29"/>
    <mergeCell ref="G31:H31"/>
    <mergeCell ref="G30:H30"/>
    <mergeCell ref="A81:J81"/>
    <mergeCell ref="A82:J87"/>
    <mergeCell ref="B30:C30"/>
    <mergeCell ref="B31:C31"/>
    <mergeCell ref="B32:C32"/>
    <mergeCell ref="B33:C33"/>
    <mergeCell ref="B34:C34"/>
    <mergeCell ref="B37:C37"/>
    <mergeCell ref="A63:H63"/>
    <mergeCell ref="I79:J79"/>
    <mergeCell ref="A78:H78"/>
    <mergeCell ref="I78:J78"/>
    <mergeCell ref="I59:J59"/>
    <mergeCell ref="I61:J61"/>
    <mergeCell ref="A62:H62"/>
    <mergeCell ref="I62:J62"/>
    <mergeCell ref="I63:J63"/>
    <mergeCell ref="A67:H67"/>
    <mergeCell ref="E48:F48"/>
    <mergeCell ref="B42:C42"/>
    <mergeCell ref="E42:F42"/>
    <mergeCell ref="G47:H47"/>
    <mergeCell ref="E45:F45"/>
    <mergeCell ref="G42:H42"/>
    <mergeCell ref="I42:J42"/>
    <mergeCell ref="E47:F47"/>
    <mergeCell ref="G48:H48"/>
    <mergeCell ref="I48:J48"/>
    <mergeCell ref="G32:H32"/>
    <mergeCell ref="I41:J41"/>
    <mergeCell ref="E32:F32"/>
    <mergeCell ref="G34:H34"/>
    <mergeCell ref="G37:H37"/>
    <mergeCell ref="G36:H36"/>
    <mergeCell ref="E33:F33"/>
    <mergeCell ref="I36:J36"/>
    <mergeCell ref="I33:J33"/>
    <mergeCell ref="G40:H40"/>
    <mergeCell ref="I39:J39"/>
    <mergeCell ref="E39:F39"/>
    <mergeCell ref="G38:H38"/>
    <mergeCell ref="G39:H39"/>
    <mergeCell ref="E34:F34"/>
    <mergeCell ref="E36:F36"/>
    <mergeCell ref="E37:F37"/>
    <mergeCell ref="B41:C41"/>
    <mergeCell ref="B36:C36"/>
    <mergeCell ref="I37:J37"/>
    <mergeCell ref="I40:J40"/>
    <mergeCell ref="I32:J32"/>
    <mergeCell ref="B40:C40"/>
    <mergeCell ref="B35:C35"/>
    <mergeCell ref="E35:F35"/>
    <mergeCell ref="G35:H35"/>
    <mergeCell ref="I35:J35"/>
    <mergeCell ref="E40:F40"/>
    <mergeCell ref="B38:C38"/>
    <mergeCell ref="B39:C39"/>
    <mergeCell ref="G41:H41"/>
    <mergeCell ref="E41:F41"/>
    <mergeCell ref="I38:J38"/>
    <mergeCell ref="I34:J34"/>
    <mergeCell ref="G33:H33"/>
    <mergeCell ref="E38:F38"/>
    <mergeCell ref="A77:H77"/>
    <mergeCell ref="I77:J77"/>
    <mergeCell ref="B56:C56"/>
    <mergeCell ref="E56:F56"/>
    <mergeCell ref="G56:H56"/>
    <mergeCell ref="I56:J56"/>
    <mergeCell ref="I68:J68"/>
    <mergeCell ref="E58:F58"/>
    <mergeCell ref="A66:H66"/>
    <mergeCell ref="I66:J66"/>
    <mergeCell ref="A64:H64"/>
    <mergeCell ref="I64:J64"/>
    <mergeCell ref="A65:H65"/>
    <mergeCell ref="B58:C58"/>
    <mergeCell ref="G58:H58"/>
    <mergeCell ref="I58:J58"/>
    <mergeCell ref="A71:H71"/>
    <mergeCell ref="I71:J71"/>
    <mergeCell ref="A69:H69"/>
    <mergeCell ref="G57:H57"/>
    <mergeCell ref="I57:J57"/>
    <mergeCell ref="A70:H70"/>
    <mergeCell ref="I70:J70"/>
    <mergeCell ref="I69:J69"/>
    <mergeCell ref="A73:H73"/>
    <mergeCell ref="I73:J73"/>
    <mergeCell ref="A76:H76"/>
    <mergeCell ref="I76:J76"/>
    <mergeCell ref="E55:F55"/>
    <mergeCell ref="G55:H55"/>
    <mergeCell ref="I55:J55"/>
    <mergeCell ref="A72:H72"/>
    <mergeCell ref="I72:J72"/>
    <mergeCell ref="B55:C55"/>
    <mergeCell ref="A68:H68"/>
    <mergeCell ref="A74:H74"/>
    <mergeCell ref="I74:J74"/>
    <mergeCell ref="A75:H75"/>
    <mergeCell ref="I75:J75"/>
  </mergeCells>
  <phoneticPr fontId="6" type="noConversion"/>
  <pageMargins left="0.75" right="0.75" top="1" bottom="1" header="0.5" footer="0.5"/>
  <pageSetup scale="66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0"/>
  <dimension ref="A1:K48"/>
  <sheetViews>
    <sheetView topLeftCell="A16" workbookViewId="0">
      <selection activeCell="I38" sqref="I38:J38"/>
    </sheetView>
  </sheetViews>
  <sheetFormatPr defaultRowHeight="12.75" x14ac:dyDescent="0.2"/>
  <cols>
    <col min="6" max="6" width="10.85546875" customWidth="1"/>
    <col min="9" max="9" width="12.7109375" bestFit="1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658</v>
      </c>
      <c r="B2" s="6"/>
      <c r="C2" s="6"/>
      <c r="D2" s="6"/>
      <c r="E2" s="6"/>
      <c r="F2" s="6"/>
      <c r="G2" s="6"/>
      <c r="H2" s="6"/>
      <c r="I2" s="6"/>
      <c r="J2" s="7" t="s">
        <v>164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1" x14ac:dyDescent="0.2">
      <c r="A6" s="9">
        <v>1</v>
      </c>
      <c r="B6" s="128">
        <v>7139551</v>
      </c>
      <c r="C6" s="128"/>
      <c r="D6" s="128">
        <v>7139578</v>
      </c>
      <c r="E6" s="128"/>
      <c r="F6" s="12">
        <v>33794</v>
      </c>
      <c r="G6" s="169" t="s">
        <v>659</v>
      </c>
      <c r="H6" s="169"/>
      <c r="I6" s="32">
        <v>254889</v>
      </c>
      <c r="J6" s="32">
        <f>I6*0.8</f>
        <v>203911.2</v>
      </c>
    </row>
    <row r="7" spans="1:11" x14ac:dyDescent="0.2">
      <c r="A7" s="9">
        <v>2</v>
      </c>
      <c r="B7" s="128">
        <v>7141653</v>
      </c>
      <c r="C7" s="128"/>
      <c r="D7" s="128">
        <v>7141661</v>
      </c>
      <c r="E7" s="128"/>
      <c r="F7" s="12">
        <v>35081</v>
      </c>
      <c r="G7" s="169" t="s">
        <v>660</v>
      </c>
      <c r="H7" s="169"/>
      <c r="I7" s="32">
        <v>84829</v>
      </c>
      <c r="J7" s="32">
        <f t="shared" ref="J7:J15" si="0">I7*0.8</f>
        <v>67863.199999999997</v>
      </c>
    </row>
    <row r="8" spans="1:11" x14ac:dyDescent="0.2">
      <c r="A8" s="9">
        <v>3</v>
      </c>
      <c r="B8" s="128">
        <v>7142668</v>
      </c>
      <c r="C8" s="128"/>
      <c r="D8" s="128">
        <v>7142641</v>
      </c>
      <c r="E8" s="128"/>
      <c r="F8" s="12">
        <v>35081</v>
      </c>
      <c r="G8" s="169" t="s">
        <v>661</v>
      </c>
      <c r="H8" s="169"/>
      <c r="I8" s="32">
        <v>84829</v>
      </c>
      <c r="J8" s="32">
        <f t="shared" si="0"/>
        <v>67863.199999999997</v>
      </c>
    </row>
    <row r="9" spans="1:11" x14ac:dyDescent="0.2">
      <c r="A9" s="9">
        <v>4</v>
      </c>
      <c r="B9" s="128">
        <v>7151683</v>
      </c>
      <c r="C9" s="128"/>
      <c r="D9" s="128">
        <v>7141691</v>
      </c>
      <c r="E9" s="128"/>
      <c r="F9" s="12">
        <v>35081</v>
      </c>
      <c r="G9" s="169" t="s">
        <v>662</v>
      </c>
      <c r="H9" s="169"/>
      <c r="I9" s="32">
        <v>102392</v>
      </c>
      <c r="J9" s="32">
        <f t="shared" si="0"/>
        <v>81913.600000000006</v>
      </c>
    </row>
    <row r="10" spans="1:11" x14ac:dyDescent="0.2">
      <c r="A10" s="9">
        <v>5</v>
      </c>
      <c r="B10" s="128">
        <v>7132425</v>
      </c>
      <c r="C10" s="128"/>
      <c r="D10" s="128">
        <v>7132433</v>
      </c>
      <c r="E10" s="128"/>
      <c r="F10" s="12">
        <v>35081</v>
      </c>
      <c r="G10" s="169" t="s">
        <v>663</v>
      </c>
      <c r="H10" s="169"/>
      <c r="I10" s="32">
        <v>102392</v>
      </c>
      <c r="J10" s="32">
        <f t="shared" si="0"/>
        <v>81913.600000000006</v>
      </c>
    </row>
    <row r="11" spans="1:11" x14ac:dyDescent="0.2">
      <c r="A11" s="9">
        <v>6</v>
      </c>
      <c r="B11" s="128">
        <v>7135971</v>
      </c>
      <c r="C11" s="128"/>
      <c r="D11" s="128"/>
      <c r="E11" s="128"/>
      <c r="F11" s="12">
        <v>35565</v>
      </c>
      <c r="G11" s="169" t="s">
        <v>664</v>
      </c>
      <c r="H11" s="169"/>
      <c r="I11" s="32">
        <v>293860</v>
      </c>
      <c r="J11" s="32">
        <f t="shared" si="0"/>
        <v>235088</v>
      </c>
    </row>
    <row r="12" spans="1:11" x14ac:dyDescent="0.2">
      <c r="A12" s="9">
        <v>7</v>
      </c>
      <c r="B12" s="128">
        <v>7147511</v>
      </c>
      <c r="C12" s="128"/>
      <c r="D12" s="128"/>
      <c r="E12" s="128"/>
      <c r="F12" s="12">
        <v>35565</v>
      </c>
      <c r="G12" s="169" t="s">
        <v>665</v>
      </c>
      <c r="H12" s="169"/>
      <c r="I12" s="32">
        <v>115800</v>
      </c>
      <c r="J12" s="32">
        <f t="shared" si="0"/>
        <v>92640</v>
      </c>
      <c r="K12" s="107"/>
    </row>
    <row r="13" spans="1:11" x14ac:dyDescent="0.2">
      <c r="A13" s="9">
        <v>8</v>
      </c>
      <c r="B13" s="128">
        <v>7150768</v>
      </c>
      <c r="C13" s="128"/>
      <c r="D13" s="128"/>
      <c r="E13" s="128"/>
      <c r="F13" s="12">
        <v>42100</v>
      </c>
      <c r="G13" s="169"/>
      <c r="H13" s="169"/>
      <c r="I13" s="32">
        <v>525342.55000000005</v>
      </c>
      <c r="J13" s="32">
        <f t="shared" si="0"/>
        <v>420274.04000000004</v>
      </c>
    </row>
    <row r="14" spans="1:11" x14ac:dyDescent="0.2">
      <c r="A14" s="9">
        <v>9</v>
      </c>
      <c r="B14" s="128">
        <v>7152930</v>
      </c>
      <c r="C14" s="128"/>
      <c r="D14" s="230" t="s">
        <v>1182</v>
      </c>
      <c r="E14" s="128"/>
      <c r="F14" s="12">
        <v>43452</v>
      </c>
      <c r="G14" s="169"/>
      <c r="H14" s="169"/>
      <c r="I14" s="32">
        <v>113520.58</v>
      </c>
      <c r="J14" s="32">
        <f t="shared" si="0"/>
        <v>90816.464000000007</v>
      </c>
    </row>
    <row r="15" spans="1:11" x14ac:dyDescent="0.2">
      <c r="A15" s="9">
        <v>10</v>
      </c>
      <c r="B15" s="128">
        <v>7146647</v>
      </c>
      <c r="C15" s="128"/>
      <c r="D15" s="137" t="s">
        <v>1182</v>
      </c>
      <c r="E15" s="128"/>
      <c r="F15" s="12">
        <v>43525</v>
      </c>
      <c r="G15" s="169"/>
      <c r="H15" s="169"/>
      <c r="I15" s="32">
        <v>137548.29999999999</v>
      </c>
      <c r="J15" s="32">
        <f t="shared" si="0"/>
        <v>110038.64</v>
      </c>
    </row>
    <row r="16" spans="1:11" x14ac:dyDescent="0.2">
      <c r="A16" s="9"/>
      <c r="B16" s="128"/>
      <c r="C16" s="128"/>
      <c r="D16" s="128"/>
      <c r="E16" s="128"/>
      <c r="F16" s="12"/>
      <c r="G16" s="169"/>
      <c r="H16" s="169"/>
      <c r="I16" s="32"/>
      <c r="J16" s="32"/>
    </row>
    <row r="17" spans="1:10" x14ac:dyDescent="0.2">
      <c r="A17" s="9"/>
      <c r="B17" s="128"/>
      <c r="C17" s="128"/>
      <c r="D17" s="128"/>
      <c r="E17" s="128"/>
      <c r="F17" s="12"/>
      <c r="G17" s="169"/>
      <c r="H17" s="169"/>
      <c r="I17" s="32"/>
      <c r="J17" s="32"/>
    </row>
    <row r="18" spans="1:10" x14ac:dyDescent="0.2">
      <c r="A18" s="13"/>
      <c r="B18" s="13"/>
      <c r="C18" s="13"/>
      <c r="D18" s="13"/>
      <c r="E18" s="13"/>
      <c r="F18" s="13"/>
      <c r="G18" s="13"/>
      <c r="H18" s="13" t="s">
        <v>33</v>
      </c>
      <c r="I18" s="33">
        <f>SUM(I6:I17)</f>
        <v>1815402.4300000002</v>
      </c>
      <c r="J18" s="33">
        <f>SUM(J6:J17)</f>
        <v>1452321.9439999999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31" t="s">
        <v>34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x14ac:dyDescent="0.2">
      <c r="A21" s="169" t="s">
        <v>23</v>
      </c>
      <c r="B21" s="169" t="s">
        <v>35</v>
      </c>
      <c r="C21" s="169"/>
      <c r="D21" s="169" t="s">
        <v>36</v>
      </c>
      <c r="E21" s="169" t="s">
        <v>37</v>
      </c>
      <c r="F21" s="169"/>
      <c r="G21" s="169" t="s">
        <v>38</v>
      </c>
      <c r="H21" s="169"/>
      <c r="I21" s="169" t="s">
        <v>39</v>
      </c>
      <c r="J21" s="169"/>
    </row>
    <row r="22" spans="1:10" x14ac:dyDescent="0.2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x14ac:dyDescent="0.2">
      <c r="A23" s="9">
        <v>1</v>
      </c>
      <c r="B23" s="183" t="s">
        <v>666</v>
      </c>
      <c r="C23" s="128"/>
      <c r="D23" s="9">
        <v>7275</v>
      </c>
      <c r="E23" s="182">
        <v>34060</v>
      </c>
      <c r="F23" s="128"/>
      <c r="G23" s="128">
        <v>1044003</v>
      </c>
      <c r="H23" s="128"/>
      <c r="I23" s="136">
        <v>453726</v>
      </c>
      <c r="J23" s="136"/>
    </row>
    <row r="24" spans="1:10" x14ac:dyDescent="0.2">
      <c r="A24" s="9">
        <v>2</v>
      </c>
      <c r="B24" s="183" t="s">
        <v>667</v>
      </c>
      <c r="C24" s="128"/>
      <c r="D24" s="9">
        <v>9569</v>
      </c>
      <c r="E24" s="182">
        <v>35765</v>
      </c>
      <c r="F24" s="128"/>
      <c r="G24" s="183" t="s">
        <v>668</v>
      </c>
      <c r="H24" s="128"/>
      <c r="I24" s="136">
        <v>69272.81</v>
      </c>
      <c r="J24" s="136"/>
    </row>
    <row r="25" spans="1:10" x14ac:dyDescent="0.2">
      <c r="A25" s="19">
        <v>3</v>
      </c>
      <c r="B25" s="137">
        <v>495313</v>
      </c>
      <c r="C25" s="137"/>
      <c r="D25" s="19">
        <v>81862</v>
      </c>
      <c r="E25" s="196">
        <v>41551</v>
      </c>
      <c r="F25" s="137"/>
      <c r="G25" s="137" t="s">
        <v>977</v>
      </c>
      <c r="H25" s="137"/>
      <c r="I25" s="138">
        <v>74745</v>
      </c>
      <c r="J25" s="138"/>
    </row>
    <row r="26" spans="1:10" x14ac:dyDescent="0.2">
      <c r="A26" s="19">
        <v>4</v>
      </c>
      <c r="B26" s="137"/>
      <c r="C26" s="137"/>
      <c r="D26" s="19">
        <v>84943</v>
      </c>
      <c r="E26" s="196">
        <v>41676</v>
      </c>
      <c r="F26" s="137"/>
      <c r="G26" s="137" t="s">
        <v>671</v>
      </c>
      <c r="H26" s="137"/>
      <c r="I26" s="138">
        <v>15163.62</v>
      </c>
      <c r="J26" s="138"/>
    </row>
    <row r="27" spans="1:10" x14ac:dyDescent="0.2">
      <c r="A27" s="19">
        <v>5</v>
      </c>
      <c r="B27" s="137"/>
      <c r="C27" s="137"/>
      <c r="D27" s="19">
        <v>92108</v>
      </c>
      <c r="E27" s="196">
        <v>44740</v>
      </c>
      <c r="F27" s="137"/>
      <c r="G27" s="137" t="s">
        <v>1152</v>
      </c>
      <c r="H27" s="137"/>
      <c r="I27" s="138">
        <v>262239</v>
      </c>
      <c r="J27" s="138"/>
    </row>
    <row r="28" spans="1:10" x14ac:dyDescent="0.2">
      <c r="A28" s="19">
        <v>6</v>
      </c>
      <c r="B28" s="137"/>
      <c r="C28" s="137"/>
      <c r="D28" s="19">
        <v>93981</v>
      </c>
      <c r="E28" s="196">
        <v>44735</v>
      </c>
      <c r="F28" s="137"/>
      <c r="G28" s="137" t="s">
        <v>1153</v>
      </c>
      <c r="H28" s="137"/>
      <c r="I28" s="138">
        <v>44659.46</v>
      </c>
      <c r="J28" s="138"/>
    </row>
    <row r="29" spans="1:10" x14ac:dyDescent="0.2">
      <c r="A29" s="58">
        <v>7</v>
      </c>
      <c r="B29" s="151"/>
      <c r="C29" s="151"/>
      <c r="D29" s="58">
        <v>106544</v>
      </c>
      <c r="E29" s="151"/>
      <c r="F29" s="151"/>
      <c r="G29" s="151" t="s">
        <v>1253</v>
      </c>
      <c r="H29" s="151"/>
      <c r="I29" s="152">
        <v>155139.6</v>
      </c>
      <c r="J29" s="152"/>
    </row>
    <row r="30" spans="1:10" x14ac:dyDescent="0.2">
      <c r="A30" s="9"/>
      <c r="B30" s="128"/>
      <c r="C30" s="128"/>
      <c r="D30" s="9"/>
      <c r="E30" s="128"/>
      <c r="F30" s="128"/>
      <c r="G30" s="128"/>
      <c r="H30" s="128"/>
      <c r="I30" s="136"/>
      <c r="J30" s="136"/>
    </row>
    <row r="31" spans="1:10" ht="13.5" thickBot="1" x14ac:dyDescent="0.25">
      <c r="A31" s="9"/>
      <c r="B31" s="128"/>
      <c r="C31" s="128"/>
      <c r="D31" s="9"/>
      <c r="E31" s="128"/>
      <c r="F31" s="128"/>
      <c r="G31" s="128"/>
      <c r="H31" s="128"/>
      <c r="I31" s="226"/>
      <c r="J31" s="226"/>
    </row>
    <row r="32" spans="1:10" ht="13.5" thickTop="1" x14ac:dyDescent="0.2">
      <c r="A32" s="13"/>
      <c r="B32" s="13"/>
      <c r="C32" s="13"/>
      <c r="D32" s="13"/>
      <c r="E32" s="13"/>
      <c r="F32" s="13"/>
      <c r="G32" s="13"/>
      <c r="H32" s="13" t="s">
        <v>33</v>
      </c>
      <c r="I32" s="140">
        <f>SUM(I23:J31)</f>
        <v>1074945.49</v>
      </c>
      <c r="J32" s="140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15" t="s">
        <v>46</v>
      </c>
      <c r="B34" s="16"/>
      <c r="C34" s="16"/>
      <c r="D34" s="16"/>
      <c r="E34" s="16"/>
      <c r="F34" s="16"/>
      <c r="G34" s="16"/>
      <c r="H34" s="16"/>
      <c r="I34" s="149" t="s">
        <v>47</v>
      </c>
      <c r="J34" s="150"/>
    </row>
    <row r="35" spans="1:10" x14ac:dyDescent="0.2">
      <c r="A35" s="144" t="s">
        <v>48</v>
      </c>
      <c r="B35" s="144"/>
      <c r="C35" s="144"/>
      <c r="D35" s="144"/>
      <c r="E35" s="144"/>
      <c r="F35" s="144"/>
      <c r="G35" s="144"/>
      <c r="H35" s="144"/>
      <c r="I35" s="148">
        <f>I18*80%</f>
        <v>1452321.9440000001</v>
      </c>
      <c r="J35" s="148"/>
    </row>
    <row r="36" spans="1:10" x14ac:dyDescent="0.2">
      <c r="A36" s="144" t="s">
        <v>669</v>
      </c>
      <c r="B36" s="144"/>
      <c r="C36" s="144"/>
      <c r="D36" s="144"/>
      <c r="E36" s="144"/>
      <c r="F36" s="144"/>
      <c r="G36" s="144"/>
      <c r="H36" s="144"/>
      <c r="I36" s="184">
        <f>-17852-197485</f>
        <v>-215337</v>
      </c>
      <c r="J36" s="184"/>
    </row>
    <row r="37" spans="1:10" x14ac:dyDescent="0.2">
      <c r="A37" s="231" t="s">
        <v>1176</v>
      </c>
      <c r="B37" s="144"/>
      <c r="C37" s="144"/>
      <c r="D37" s="144"/>
      <c r="E37" s="144"/>
      <c r="F37" s="144"/>
      <c r="G37" s="144"/>
      <c r="H37" s="144"/>
      <c r="I37" s="184">
        <v>-168715.7</v>
      </c>
      <c r="J37" s="184"/>
    </row>
    <row r="38" spans="1:10" x14ac:dyDescent="0.2">
      <c r="A38" s="231" t="s">
        <v>1302</v>
      </c>
      <c r="B38" s="144"/>
      <c r="C38" s="144"/>
      <c r="D38" s="144"/>
      <c r="E38" s="144"/>
      <c r="F38" s="144"/>
      <c r="G38" s="144"/>
      <c r="H38" s="144"/>
      <c r="I38" s="184">
        <v>7732.47</v>
      </c>
      <c r="J38" s="184"/>
    </row>
    <row r="39" spans="1:10" ht="13.5" thickBot="1" x14ac:dyDescent="0.25">
      <c r="A39" s="144" t="s">
        <v>50</v>
      </c>
      <c r="B39" s="144"/>
      <c r="C39" s="144"/>
      <c r="D39" s="144"/>
      <c r="E39" s="144"/>
      <c r="F39" s="144"/>
      <c r="G39" s="144"/>
      <c r="H39" s="144"/>
      <c r="I39" s="145">
        <f>I32</f>
        <v>1074945.49</v>
      </c>
      <c r="J39" s="145"/>
    </row>
    <row r="40" spans="1:10" ht="13.5" thickTop="1" x14ac:dyDescent="0.2">
      <c r="H40" s="18" t="s">
        <v>33</v>
      </c>
      <c r="I40" s="129">
        <f>I35+I36+I37+I38-I39</f>
        <v>1056.2240000001621</v>
      </c>
      <c r="J40" s="130"/>
    </row>
    <row r="42" spans="1:10" ht="15" x14ac:dyDescent="0.25">
      <c r="A42" s="131" t="s">
        <v>51</v>
      </c>
      <c r="B42" s="132"/>
      <c r="C42" s="132"/>
      <c r="D42" s="132"/>
      <c r="E42" s="132"/>
      <c r="F42" s="132"/>
      <c r="G42" s="132"/>
      <c r="H42" s="132"/>
      <c r="I42" s="132"/>
      <c r="J42" s="133"/>
    </row>
    <row r="43" spans="1:10" x14ac:dyDescent="0.2">
      <c r="A43" s="139" t="s">
        <v>670</v>
      </c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</sheetData>
  <mergeCells count="103">
    <mergeCell ref="D16:E16"/>
    <mergeCell ref="G16:H16"/>
    <mergeCell ref="E21:F22"/>
    <mergeCell ref="G21:H22"/>
    <mergeCell ref="I21:J22"/>
    <mergeCell ref="B24:C24"/>
    <mergeCell ref="E24:F24"/>
    <mergeCell ref="G24:H24"/>
    <mergeCell ref="I24:J24"/>
    <mergeCell ref="B23:C23"/>
    <mergeCell ref="E23:F23"/>
    <mergeCell ref="G23:H23"/>
    <mergeCell ref="I23:J23"/>
    <mergeCell ref="A20:J20"/>
    <mergeCell ref="A21:A22"/>
    <mergeCell ref="B21:C22"/>
    <mergeCell ref="D21:D22"/>
    <mergeCell ref="B17:C17"/>
    <mergeCell ref="D17:E17"/>
    <mergeCell ref="G17:H17"/>
    <mergeCell ref="B16:C16"/>
    <mergeCell ref="A3:J3"/>
    <mergeCell ref="A4:A5"/>
    <mergeCell ref="B4:E4"/>
    <mergeCell ref="F4:F5"/>
    <mergeCell ref="G4:H5"/>
    <mergeCell ref="B5:C5"/>
    <mergeCell ref="D5:E5"/>
    <mergeCell ref="B7:C7"/>
    <mergeCell ref="D7:E7"/>
    <mergeCell ref="G7:H7"/>
    <mergeCell ref="B6:C6"/>
    <mergeCell ref="D6:E6"/>
    <mergeCell ref="G6:H6"/>
    <mergeCell ref="I4:I5"/>
    <mergeCell ref="J4:J5"/>
    <mergeCell ref="B9:C9"/>
    <mergeCell ref="D9:E9"/>
    <mergeCell ref="G9:H9"/>
    <mergeCell ref="B8:C8"/>
    <mergeCell ref="D8:E8"/>
    <mergeCell ref="G8:H8"/>
    <mergeCell ref="B11:C11"/>
    <mergeCell ref="D11:E11"/>
    <mergeCell ref="G11:H11"/>
    <mergeCell ref="B10:C10"/>
    <mergeCell ref="D10:E10"/>
    <mergeCell ref="G10:H10"/>
    <mergeCell ref="B12:C12"/>
    <mergeCell ref="D12:E12"/>
    <mergeCell ref="G12:H12"/>
    <mergeCell ref="B15:C15"/>
    <mergeCell ref="D15:E15"/>
    <mergeCell ref="G15:H15"/>
    <mergeCell ref="B13:C13"/>
    <mergeCell ref="D13:E13"/>
    <mergeCell ref="G13:H13"/>
    <mergeCell ref="B14:C14"/>
    <mergeCell ref="D14:E14"/>
    <mergeCell ref="G14:H14"/>
    <mergeCell ref="I25:J25"/>
    <mergeCell ref="B28:C28"/>
    <mergeCell ref="E28:F28"/>
    <mergeCell ref="G28:H28"/>
    <mergeCell ref="I28:J28"/>
    <mergeCell ref="B27:C27"/>
    <mergeCell ref="E27:F27"/>
    <mergeCell ref="G27:H27"/>
    <mergeCell ref="I27:J27"/>
    <mergeCell ref="B26:C26"/>
    <mergeCell ref="E26:F26"/>
    <mergeCell ref="G26:H26"/>
    <mergeCell ref="I26:J26"/>
    <mergeCell ref="B25:C25"/>
    <mergeCell ref="E25:F25"/>
    <mergeCell ref="G25:H25"/>
    <mergeCell ref="B30:C30"/>
    <mergeCell ref="E30:F30"/>
    <mergeCell ref="G30:H30"/>
    <mergeCell ref="I30:J30"/>
    <mergeCell ref="B29:C29"/>
    <mergeCell ref="E29:F29"/>
    <mergeCell ref="G29:H29"/>
    <mergeCell ref="I29:J29"/>
    <mergeCell ref="I34:J34"/>
    <mergeCell ref="A35:H35"/>
    <mergeCell ref="I35:J35"/>
    <mergeCell ref="B31:C31"/>
    <mergeCell ref="E31:F31"/>
    <mergeCell ref="G31:H31"/>
    <mergeCell ref="I31:J31"/>
    <mergeCell ref="I40:J40"/>
    <mergeCell ref="A42:J42"/>
    <mergeCell ref="A43:J48"/>
    <mergeCell ref="A36:H36"/>
    <mergeCell ref="I36:J36"/>
    <mergeCell ref="A39:H39"/>
    <mergeCell ref="I39:J39"/>
    <mergeCell ref="I32:J32"/>
    <mergeCell ref="A38:H38"/>
    <mergeCell ref="I38:J38"/>
    <mergeCell ref="A37:H37"/>
    <mergeCell ref="I37:J37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1">
    <pageSetUpPr fitToPage="1"/>
  </sheetPr>
  <dimension ref="A1:K70"/>
  <sheetViews>
    <sheetView topLeftCell="A39" workbookViewId="0">
      <selection activeCell="I59" sqref="I59:J59"/>
    </sheetView>
  </sheetViews>
  <sheetFormatPr defaultRowHeight="12.75" x14ac:dyDescent="0.2"/>
  <cols>
    <col min="6" max="6" width="10.85546875" customWidth="1"/>
    <col min="7" max="7" width="12.5703125" customWidth="1"/>
    <col min="8" max="8" width="15.5703125" customWidth="1"/>
    <col min="9" max="9" width="13.5703125" customWidth="1"/>
    <col min="10" max="10" width="12.855468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672</v>
      </c>
      <c r="B2" s="6"/>
      <c r="C2" s="6"/>
      <c r="D2" s="6"/>
      <c r="E2" s="6"/>
      <c r="F2" s="6"/>
      <c r="G2" s="6"/>
      <c r="H2" s="6"/>
      <c r="I2" s="6"/>
      <c r="J2" s="7" t="s">
        <v>164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 t="s">
        <v>821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1" x14ac:dyDescent="0.2">
      <c r="A6" s="9">
        <v>1</v>
      </c>
      <c r="B6" s="128">
        <v>7330596</v>
      </c>
      <c r="C6" s="128"/>
      <c r="D6" s="128">
        <v>7337264</v>
      </c>
      <c r="E6" s="128"/>
      <c r="F6" s="12">
        <v>33731</v>
      </c>
      <c r="G6" s="169" t="s">
        <v>673</v>
      </c>
      <c r="H6" s="169"/>
      <c r="I6" s="32">
        <v>111649.5</v>
      </c>
      <c r="J6" s="32">
        <f>I6*0.8</f>
        <v>89319.6</v>
      </c>
    </row>
    <row r="7" spans="1:11" x14ac:dyDescent="0.2">
      <c r="A7" s="9">
        <v>2</v>
      </c>
      <c r="B7" s="128">
        <v>7333919</v>
      </c>
      <c r="C7" s="128"/>
      <c r="D7" s="128">
        <v>7337108</v>
      </c>
      <c r="E7" s="128"/>
      <c r="F7" s="12">
        <v>33731</v>
      </c>
      <c r="G7" s="169" t="s">
        <v>674</v>
      </c>
      <c r="H7" s="169"/>
      <c r="I7" s="32">
        <v>66660</v>
      </c>
      <c r="J7" s="32">
        <f t="shared" ref="J7:J20" si="0">I7*0.8</f>
        <v>53328</v>
      </c>
    </row>
    <row r="8" spans="1:11" x14ac:dyDescent="0.2">
      <c r="A8" s="9">
        <v>3</v>
      </c>
      <c r="B8" s="128">
        <v>7332432</v>
      </c>
      <c r="C8" s="128"/>
      <c r="D8" s="128">
        <v>7338260</v>
      </c>
      <c r="E8" s="128"/>
      <c r="F8" s="12">
        <v>34779</v>
      </c>
      <c r="G8" s="169" t="s">
        <v>675</v>
      </c>
      <c r="H8" s="169"/>
      <c r="I8" s="32">
        <v>64135</v>
      </c>
      <c r="J8" s="32">
        <f t="shared" si="0"/>
        <v>51308</v>
      </c>
    </row>
    <row r="9" spans="1:11" x14ac:dyDescent="0.2">
      <c r="A9" s="9">
        <v>4</v>
      </c>
      <c r="B9" s="128">
        <v>7330316</v>
      </c>
      <c r="C9" s="128"/>
      <c r="D9" s="128">
        <v>7338422</v>
      </c>
      <c r="E9" s="128"/>
      <c r="F9" s="12">
        <v>34779</v>
      </c>
      <c r="G9" s="169" t="s">
        <v>676</v>
      </c>
      <c r="H9" s="169"/>
      <c r="I9" s="32">
        <v>116660</v>
      </c>
      <c r="J9" s="32">
        <f t="shared" si="0"/>
        <v>93328</v>
      </c>
    </row>
    <row r="10" spans="1:11" x14ac:dyDescent="0.2">
      <c r="A10" s="9">
        <v>5</v>
      </c>
      <c r="B10" s="128">
        <v>7334249</v>
      </c>
      <c r="C10" s="128"/>
      <c r="D10" s="128">
        <v>7337973</v>
      </c>
      <c r="E10" s="128"/>
      <c r="F10" s="12">
        <v>34779</v>
      </c>
      <c r="G10" s="169" t="s">
        <v>677</v>
      </c>
      <c r="H10" s="169"/>
      <c r="I10" s="32">
        <v>68791</v>
      </c>
      <c r="J10" s="32">
        <f t="shared" si="0"/>
        <v>55032.800000000003</v>
      </c>
    </row>
    <row r="11" spans="1:11" x14ac:dyDescent="0.2">
      <c r="A11" s="9">
        <v>6</v>
      </c>
      <c r="B11" s="128">
        <v>7331959</v>
      </c>
      <c r="C11" s="128"/>
      <c r="D11" s="128">
        <v>733090</v>
      </c>
      <c r="E11" s="128"/>
      <c r="F11" s="12">
        <v>34779</v>
      </c>
      <c r="G11" s="169" t="s">
        <v>678</v>
      </c>
      <c r="H11" s="169"/>
      <c r="I11" s="32">
        <v>51800</v>
      </c>
      <c r="J11" s="32">
        <f t="shared" si="0"/>
        <v>41440</v>
      </c>
    </row>
    <row r="12" spans="1:11" x14ac:dyDescent="0.2">
      <c r="A12" s="9">
        <v>7</v>
      </c>
      <c r="B12" s="128">
        <v>7330146</v>
      </c>
      <c r="C12" s="128"/>
      <c r="D12" s="128">
        <v>7338376</v>
      </c>
      <c r="E12" s="128"/>
      <c r="F12" s="12">
        <v>34779</v>
      </c>
      <c r="G12" s="169" t="s">
        <v>679</v>
      </c>
      <c r="H12" s="169"/>
      <c r="I12" s="32">
        <v>131513</v>
      </c>
      <c r="J12" s="32">
        <f t="shared" si="0"/>
        <v>105210.40000000001</v>
      </c>
      <c r="K12" s="107"/>
    </row>
    <row r="13" spans="1:11" x14ac:dyDescent="0.2">
      <c r="A13" s="9">
        <v>8</v>
      </c>
      <c r="B13" s="128">
        <v>7336799</v>
      </c>
      <c r="C13" s="128"/>
      <c r="D13" s="128">
        <v>7338465</v>
      </c>
      <c r="E13" s="128"/>
      <c r="F13" s="12">
        <v>40050</v>
      </c>
      <c r="G13" s="169"/>
      <c r="H13" s="169"/>
      <c r="I13" s="32">
        <v>72980.490000000005</v>
      </c>
      <c r="J13" s="32">
        <f t="shared" si="0"/>
        <v>58384.392000000007</v>
      </c>
    </row>
    <row r="14" spans="1:11" x14ac:dyDescent="0.2">
      <c r="A14" s="9">
        <v>9</v>
      </c>
      <c r="B14" s="128">
        <v>7331029</v>
      </c>
      <c r="C14" s="128"/>
      <c r="D14" s="128">
        <v>7338589</v>
      </c>
      <c r="E14" s="128"/>
      <c r="F14" s="12">
        <v>40050</v>
      </c>
      <c r="G14" s="169"/>
      <c r="H14" s="169"/>
      <c r="I14" s="32">
        <v>186813.08</v>
      </c>
      <c r="J14" s="32">
        <f t="shared" si="0"/>
        <v>149450.46400000001</v>
      </c>
    </row>
    <row r="15" spans="1:11" x14ac:dyDescent="0.2">
      <c r="A15" s="9">
        <v>10</v>
      </c>
      <c r="B15" s="128">
        <v>7331169</v>
      </c>
      <c r="C15" s="128"/>
      <c r="D15" s="128">
        <v>7338694</v>
      </c>
      <c r="E15" s="128"/>
      <c r="F15" s="12">
        <v>40050</v>
      </c>
      <c r="G15" s="169"/>
      <c r="H15" s="169"/>
      <c r="I15" s="32">
        <v>253386.54</v>
      </c>
      <c r="J15" s="32">
        <f t="shared" si="0"/>
        <v>202709.23200000002</v>
      </c>
    </row>
    <row r="16" spans="1:11" x14ac:dyDescent="0.2">
      <c r="A16" s="9">
        <v>11</v>
      </c>
      <c r="B16" s="128">
        <v>7331320</v>
      </c>
      <c r="C16" s="128"/>
      <c r="D16" s="128">
        <v>7338414</v>
      </c>
      <c r="E16" s="128"/>
      <c r="F16" s="12">
        <v>40050</v>
      </c>
      <c r="G16" s="169"/>
      <c r="H16" s="169"/>
      <c r="I16" s="32">
        <v>74104.289999999994</v>
      </c>
      <c r="J16" s="32">
        <f t="shared" si="0"/>
        <v>59283.432000000001</v>
      </c>
    </row>
    <row r="17" spans="1:10" x14ac:dyDescent="0.2">
      <c r="A17" s="9">
        <v>12</v>
      </c>
      <c r="B17" s="128">
        <v>7334079</v>
      </c>
      <c r="C17" s="128"/>
      <c r="D17" s="128">
        <v>7338635</v>
      </c>
      <c r="E17" s="128"/>
      <c r="F17" s="12">
        <v>40050</v>
      </c>
      <c r="G17" s="169"/>
      <c r="H17" s="169"/>
      <c r="I17" s="32">
        <v>213630.8</v>
      </c>
      <c r="J17" s="32">
        <f t="shared" si="0"/>
        <v>170904.64</v>
      </c>
    </row>
    <row r="18" spans="1:10" x14ac:dyDescent="0.2">
      <c r="A18" s="9">
        <v>13</v>
      </c>
      <c r="B18" s="192">
        <v>7330650</v>
      </c>
      <c r="C18" s="204"/>
      <c r="D18" s="192">
        <v>7338538</v>
      </c>
      <c r="E18" s="204"/>
      <c r="F18" s="12">
        <v>40091</v>
      </c>
      <c r="G18" s="179"/>
      <c r="H18" s="181"/>
      <c r="I18" s="32">
        <v>71068.66</v>
      </c>
      <c r="J18" s="32">
        <f t="shared" si="0"/>
        <v>56854.928000000007</v>
      </c>
    </row>
    <row r="19" spans="1:10" x14ac:dyDescent="0.2">
      <c r="A19" s="9">
        <v>14</v>
      </c>
      <c r="B19" s="192">
        <v>7334788</v>
      </c>
      <c r="C19" s="204"/>
      <c r="D19" s="192">
        <v>7339127</v>
      </c>
      <c r="E19" s="204"/>
      <c r="F19" s="12">
        <v>40252</v>
      </c>
      <c r="G19" s="179"/>
      <c r="H19" s="181"/>
      <c r="I19" s="32">
        <v>507738</v>
      </c>
      <c r="J19" s="32">
        <f t="shared" si="0"/>
        <v>406190.4</v>
      </c>
    </row>
    <row r="20" spans="1:10" x14ac:dyDescent="0.2">
      <c r="A20" s="9">
        <v>15</v>
      </c>
      <c r="B20" s="192">
        <v>7334400</v>
      </c>
      <c r="C20" s="204"/>
      <c r="D20" s="192">
        <v>7339070</v>
      </c>
      <c r="E20" s="204"/>
      <c r="F20" s="12">
        <v>40252</v>
      </c>
      <c r="G20" s="179"/>
      <c r="H20" s="181"/>
      <c r="I20" s="32">
        <v>347841</v>
      </c>
      <c r="J20" s="32">
        <f t="shared" si="0"/>
        <v>278272.8</v>
      </c>
    </row>
    <row r="21" spans="1:10" x14ac:dyDescent="0.2">
      <c r="A21" s="9"/>
      <c r="B21" s="128"/>
      <c r="C21" s="128"/>
      <c r="D21" s="128"/>
      <c r="E21" s="128"/>
      <c r="F21" s="12"/>
      <c r="G21" s="169"/>
      <c r="H21" s="169"/>
      <c r="I21" s="32"/>
      <c r="J21" s="32"/>
    </row>
    <row r="22" spans="1:10" x14ac:dyDescent="0.2">
      <c r="A22" s="13"/>
      <c r="B22" s="13"/>
      <c r="C22" s="13"/>
      <c r="D22" s="13"/>
      <c r="E22" s="13"/>
      <c r="F22" s="13"/>
      <c r="G22" s="13"/>
      <c r="H22" s="13" t="s">
        <v>33</v>
      </c>
      <c r="I22" s="33">
        <f>SUM(I6:I21)</f>
        <v>2338771.36</v>
      </c>
      <c r="J22" s="33">
        <f>SUM(J6:J21)</f>
        <v>1871017.0880000002</v>
      </c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 x14ac:dyDescent="0.25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3"/>
    </row>
    <row r="25" spans="1:10" x14ac:dyDescent="0.2">
      <c r="A25" s="169" t="s">
        <v>23</v>
      </c>
      <c r="B25" s="169" t="s">
        <v>35</v>
      </c>
      <c r="C25" s="169"/>
      <c r="D25" s="169" t="s">
        <v>36</v>
      </c>
      <c r="E25" s="169" t="s">
        <v>37</v>
      </c>
      <c r="F25" s="169"/>
      <c r="G25" s="169" t="s">
        <v>38</v>
      </c>
      <c r="H25" s="169"/>
      <c r="I25" s="169" t="s">
        <v>39</v>
      </c>
      <c r="J25" s="169"/>
    </row>
    <row r="26" spans="1:10" x14ac:dyDescent="0.2">
      <c r="A26" s="169"/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 x14ac:dyDescent="0.2">
      <c r="A27" s="9">
        <v>1</v>
      </c>
      <c r="B27" s="183" t="s">
        <v>680</v>
      </c>
      <c r="C27" s="128"/>
      <c r="D27" s="9">
        <v>11218</v>
      </c>
      <c r="E27" s="182">
        <v>34639</v>
      </c>
      <c r="F27" s="128"/>
      <c r="G27" s="183" t="s">
        <v>681</v>
      </c>
      <c r="H27" s="128"/>
      <c r="I27" s="136">
        <v>70474</v>
      </c>
      <c r="J27" s="136"/>
    </row>
    <row r="28" spans="1:10" x14ac:dyDescent="0.2">
      <c r="A28" s="9">
        <v>2</v>
      </c>
      <c r="B28" s="183" t="s">
        <v>682</v>
      </c>
      <c r="C28" s="128"/>
      <c r="D28" s="9">
        <v>11227</v>
      </c>
      <c r="E28" s="182">
        <v>35278</v>
      </c>
      <c r="F28" s="128"/>
      <c r="G28" s="183" t="s">
        <v>683</v>
      </c>
      <c r="H28" s="128"/>
      <c r="I28" s="136">
        <v>54559</v>
      </c>
      <c r="J28" s="136"/>
    </row>
    <row r="29" spans="1:10" x14ac:dyDescent="0.2">
      <c r="A29" s="9">
        <v>3</v>
      </c>
      <c r="B29" s="183" t="s">
        <v>684</v>
      </c>
      <c r="C29" s="128"/>
      <c r="D29" s="9">
        <v>11225</v>
      </c>
      <c r="E29" s="182">
        <v>36739</v>
      </c>
      <c r="F29" s="128"/>
      <c r="G29" s="128" t="s">
        <v>685</v>
      </c>
      <c r="H29" s="128"/>
      <c r="I29" s="136">
        <v>71006</v>
      </c>
      <c r="J29" s="136"/>
    </row>
    <row r="30" spans="1:10" x14ac:dyDescent="0.2">
      <c r="A30" s="9">
        <v>4</v>
      </c>
      <c r="B30" s="128">
        <v>495151</v>
      </c>
      <c r="C30" s="128"/>
      <c r="D30" s="9">
        <v>78360</v>
      </c>
      <c r="E30" s="182">
        <v>41859</v>
      </c>
      <c r="F30" s="128"/>
      <c r="G30" s="128" t="s">
        <v>686</v>
      </c>
      <c r="H30" s="128"/>
      <c r="I30" s="136">
        <v>574878.24</v>
      </c>
      <c r="J30" s="136"/>
    </row>
    <row r="31" spans="1:10" x14ac:dyDescent="0.2">
      <c r="A31" s="19"/>
      <c r="B31" s="137"/>
      <c r="C31" s="137"/>
      <c r="D31" s="19">
        <v>87270</v>
      </c>
      <c r="E31" s="137" t="s">
        <v>864</v>
      </c>
      <c r="F31" s="137"/>
      <c r="G31" s="137"/>
      <c r="H31" s="137"/>
      <c r="I31" s="138">
        <v>29474.6</v>
      </c>
      <c r="J31" s="138"/>
    </row>
    <row r="32" spans="1:10" x14ac:dyDescent="0.2">
      <c r="A32" s="19"/>
      <c r="B32" s="137"/>
      <c r="C32" s="137"/>
      <c r="D32" s="19">
        <v>88870</v>
      </c>
      <c r="E32" s="137" t="s">
        <v>912</v>
      </c>
      <c r="F32" s="137"/>
      <c r="G32" s="137"/>
      <c r="H32" s="137"/>
      <c r="I32" s="138">
        <v>2827</v>
      </c>
      <c r="J32" s="138"/>
    </row>
    <row r="33" spans="1:10" x14ac:dyDescent="0.2">
      <c r="A33" s="19"/>
      <c r="B33" s="137"/>
      <c r="C33" s="137"/>
      <c r="D33" s="19">
        <v>92742</v>
      </c>
      <c r="E33" s="137" t="s">
        <v>1009</v>
      </c>
      <c r="F33" s="137"/>
      <c r="G33" s="137"/>
      <c r="H33" s="137"/>
      <c r="I33" s="138">
        <v>7596</v>
      </c>
      <c r="J33" s="138"/>
    </row>
    <row r="34" spans="1:10" x14ac:dyDescent="0.2">
      <c r="A34" s="19"/>
      <c r="B34" s="137"/>
      <c r="C34" s="137"/>
      <c r="D34" s="19">
        <v>93896</v>
      </c>
      <c r="E34" s="137" t="s">
        <v>1027</v>
      </c>
      <c r="F34" s="137"/>
      <c r="G34" s="137"/>
      <c r="H34" s="137"/>
      <c r="I34" s="138">
        <v>4200</v>
      </c>
      <c r="J34" s="138"/>
    </row>
    <row r="35" spans="1:10" x14ac:dyDescent="0.2">
      <c r="A35" s="19"/>
      <c r="B35" s="137"/>
      <c r="C35" s="137"/>
      <c r="D35" s="19">
        <v>93983</v>
      </c>
      <c r="E35" s="196">
        <v>43458</v>
      </c>
      <c r="F35" s="137"/>
      <c r="G35" s="137" t="s">
        <v>1019</v>
      </c>
      <c r="H35" s="137"/>
      <c r="I35" s="138">
        <v>239869.51</v>
      </c>
      <c r="J35" s="138"/>
    </row>
    <row r="36" spans="1:10" x14ac:dyDescent="0.2">
      <c r="A36" s="19"/>
      <c r="B36" s="137"/>
      <c r="C36" s="137"/>
      <c r="D36" s="19">
        <v>93991</v>
      </c>
      <c r="E36" s="196">
        <v>43040</v>
      </c>
      <c r="F36" s="137"/>
      <c r="G36" s="137" t="s">
        <v>1046</v>
      </c>
      <c r="H36" s="137"/>
      <c r="I36" s="138">
        <v>109752.27</v>
      </c>
      <c r="J36" s="138"/>
    </row>
    <row r="37" spans="1:10" x14ac:dyDescent="0.2">
      <c r="A37" s="82"/>
      <c r="B37" s="198"/>
      <c r="C37" s="198"/>
      <c r="D37" s="82"/>
      <c r="E37" s="198"/>
      <c r="F37" s="198"/>
      <c r="G37" s="198"/>
      <c r="H37" s="198"/>
      <c r="I37" s="199"/>
      <c r="J37" s="199"/>
    </row>
    <row r="38" spans="1:10" x14ac:dyDescent="0.2">
      <c r="A38" s="9"/>
      <c r="B38" s="128"/>
      <c r="C38" s="128"/>
      <c r="D38" s="9"/>
      <c r="E38" s="128"/>
      <c r="F38" s="128"/>
      <c r="G38" s="128"/>
      <c r="H38" s="128"/>
      <c r="I38" s="136"/>
      <c r="J38" s="136"/>
    </row>
    <row r="39" spans="1:10" x14ac:dyDescent="0.2">
      <c r="A39" s="9"/>
      <c r="B39" s="128"/>
      <c r="C39" s="128"/>
      <c r="D39" s="9"/>
      <c r="E39" s="128"/>
      <c r="F39" s="128"/>
      <c r="G39" s="128"/>
      <c r="H39" s="128"/>
      <c r="I39" s="136"/>
      <c r="J39" s="136"/>
    </row>
    <row r="40" spans="1:10" ht="13.5" thickBot="1" x14ac:dyDescent="0.25">
      <c r="A40" s="9"/>
      <c r="B40" s="128"/>
      <c r="C40" s="128"/>
      <c r="D40" s="9"/>
      <c r="E40" s="128"/>
      <c r="F40" s="128"/>
      <c r="G40" s="128"/>
      <c r="H40" s="128"/>
      <c r="I40" s="226"/>
      <c r="J40" s="226"/>
    </row>
    <row r="41" spans="1:10" ht="13.5" thickTop="1" x14ac:dyDescent="0.2">
      <c r="A41" s="13"/>
      <c r="B41" s="13"/>
      <c r="C41" s="13"/>
      <c r="D41" s="13"/>
      <c r="E41" s="13"/>
      <c r="F41" s="13"/>
      <c r="G41" s="13"/>
      <c r="H41" s="13" t="s">
        <v>33</v>
      </c>
      <c r="I41" s="140">
        <f>SUM(I27:J40)</f>
        <v>1164636.6200000001</v>
      </c>
      <c r="J41" s="140"/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15" t="s">
        <v>46</v>
      </c>
      <c r="B43" s="16"/>
      <c r="C43" s="16"/>
      <c r="D43" s="16"/>
      <c r="E43" s="16"/>
      <c r="F43" s="16"/>
      <c r="G43" s="16"/>
      <c r="H43" s="16"/>
      <c r="I43" s="149" t="s">
        <v>47</v>
      </c>
      <c r="J43" s="150"/>
    </row>
    <row r="44" spans="1:10" x14ac:dyDescent="0.2">
      <c r="A44" s="144" t="s">
        <v>48</v>
      </c>
      <c r="B44" s="144"/>
      <c r="C44" s="144"/>
      <c r="D44" s="144"/>
      <c r="E44" s="144"/>
      <c r="F44" s="144"/>
      <c r="G44" s="144"/>
      <c r="H44" s="144"/>
      <c r="I44" s="148">
        <f>I22*80%</f>
        <v>1871017.088</v>
      </c>
      <c r="J44" s="148"/>
    </row>
    <row r="45" spans="1:10" x14ac:dyDescent="0.2">
      <c r="A45" s="144" t="s">
        <v>49</v>
      </c>
      <c r="B45" s="144"/>
      <c r="C45" s="144"/>
      <c r="D45" s="144"/>
      <c r="E45" s="144"/>
      <c r="F45" s="144"/>
      <c r="G45" s="144"/>
      <c r="H45" s="144"/>
      <c r="I45" s="184">
        <f>-79349+374791</f>
        <v>295442</v>
      </c>
      <c r="J45" s="184"/>
    </row>
    <row r="46" spans="1:10" x14ac:dyDescent="0.2">
      <c r="A46" s="185" t="s">
        <v>830</v>
      </c>
      <c r="B46" s="142"/>
      <c r="C46" s="142"/>
      <c r="D46" s="142"/>
      <c r="E46" s="142"/>
      <c r="F46" s="142"/>
      <c r="G46" s="142"/>
      <c r="H46" s="143"/>
      <c r="I46" s="146">
        <v>-374791</v>
      </c>
      <c r="J46" s="147"/>
    </row>
    <row r="47" spans="1:10" x14ac:dyDescent="0.2">
      <c r="A47" s="186" t="s">
        <v>965</v>
      </c>
      <c r="B47" s="142"/>
      <c r="C47" s="142"/>
      <c r="D47" s="142"/>
      <c r="E47" s="142"/>
      <c r="F47" s="142"/>
      <c r="G47" s="142"/>
      <c r="H47" s="143"/>
      <c r="I47" s="146">
        <v>-236736</v>
      </c>
      <c r="J47" s="147"/>
    </row>
    <row r="48" spans="1:10" x14ac:dyDescent="0.2">
      <c r="A48" s="186" t="s">
        <v>1029</v>
      </c>
      <c r="B48" s="142"/>
      <c r="C48" s="142"/>
      <c r="D48" s="142"/>
      <c r="E48" s="142"/>
      <c r="F48" s="142"/>
      <c r="G48" s="142"/>
      <c r="H48" s="143"/>
      <c r="I48" s="146">
        <v>-50000</v>
      </c>
      <c r="J48" s="147"/>
    </row>
    <row r="49" spans="1:10" x14ac:dyDescent="0.2">
      <c r="A49" s="186" t="s">
        <v>1191</v>
      </c>
      <c r="B49" s="142"/>
      <c r="C49" s="142"/>
      <c r="D49" s="142"/>
      <c r="E49" s="142"/>
      <c r="F49" s="142"/>
      <c r="G49" s="142"/>
      <c r="H49" s="143"/>
      <c r="I49" s="146">
        <v>286736</v>
      </c>
      <c r="J49" s="147"/>
    </row>
    <row r="50" spans="1:10" x14ac:dyDescent="0.2">
      <c r="A50" s="141" t="s">
        <v>1024</v>
      </c>
      <c r="B50" s="142"/>
      <c r="C50" s="142"/>
      <c r="D50" s="142"/>
      <c r="E50" s="142"/>
      <c r="F50" s="142"/>
      <c r="G50" s="142"/>
      <c r="H50" s="143"/>
      <c r="I50" s="146">
        <v>-172600</v>
      </c>
      <c r="J50" s="147"/>
    </row>
    <row r="51" spans="1:10" x14ac:dyDescent="0.2">
      <c r="A51" s="141" t="s">
        <v>1235</v>
      </c>
      <c r="B51" s="142"/>
      <c r="C51" s="142"/>
      <c r="D51" s="142"/>
      <c r="E51" s="142"/>
      <c r="F51" s="142"/>
      <c r="G51" s="142"/>
      <c r="H51" s="143"/>
      <c r="I51" s="146">
        <v>172600</v>
      </c>
      <c r="J51" s="147"/>
    </row>
    <row r="52" spans="1:10" x14ac:dyDescent="0.2">
      <c r="A52" s="141" t="s">
        <v>1047</v>
      </c>
      <c r="B52" s="142"/>
      <c r="C52" s="142"/>
      <c r="D52" s="142"/>
      <c r="E52" s="142"/>
      <c r="F52" s="142"/>
      <c r="G52" s="142"/>
      <c r="H52" s="143"/>
      <c r="I52" s="146">
        <v>-250000</v>
      </c>
      <c r="J52" s="147"/>
    </row>
    <row r="53" spans="1:10" x14ac:dyDescent="0.2">
      <c r="A53" s="141" t="s">
        <v>1119</v>
      </c>
      <c r="B53" s="142"/>
      <c r="C53" s="142"/>
      <c r="D53" s="142"/>
      <c r="E53" s="142"/>
      <c r="F53" s="142"/>
      <c r="G53" s="142"/>
      <c r="H53" s="143"/>
      <c r="I53" s="146">
        <v>250000</v>
      </c>
      <c r="J53" s="147"/>
    </row>
    <row r="54" spans="1:10" x14ac:dyDescent="0.2">
      <c r="A54" s="141" t="s">
        <v>1126</v>
      </c>
      <c r="B54" s="142"/>
      <c r="C54" s="142"/>
      <c r="D54" s="142"/>
      <c r="E54" s="142"/>
      <c r="F54" s="142"/>
      <c r="G54" s="142"/>
      <c r="H54" s="143"/>
      <c r="I54" s="146">
        <v>-40000</v>
      </c>
      <c r="J54" s="147"/>
    </row>
    <row r="55" spans="1:10" x14ac:dyDescent="0.2">
      <c r="A55" s="141" t="s">
        <v>1142</v>
      </c>
      <c r="B55" s="142"/>
      <c r="C55" s="142"/>
      <c r="D55" s="142"/>
      <c r="E55" s="142"/>
      <c r="F55" s="142"/>
      <c r="G55" s="142"/>
      <c r="H55" s="143"/>
      <c r="I55" s="146">
        <v>40000</v>
      </c>
      <c r="J55" s="147"/>
    </row>
    <row r="56" spans="1:10" x14ac:dyDescent="0.2">
      <c r="A56" s="187" t="s">
        <v>1264</v>
      </c>
      <c r="B56" s="188"/>
      <c r="C56" s="188"/>
      <c r="D56" s="188"/>
      <c r="E56" s="188"/>
      <c r="F56" s="188"/>
      <c r="G56" s="188"/>
      <c r="H56" s="189"/>
      <c r="I56" s="190">
        <v>183795</v>
      </c>
      <c r="J56" s="191"/>
    </row>
    <row r="57" spans="1:10" x14ac:dyDescent="0.2">
      <c r="A57" s="141" t="s">
        <v>1315</v>
      </c>
      <c r="B57" s="357"/>
      <c r="C57" s="357"/>
      <c r="D57" s="357"/>
      <c r="E57" s="357"/>
      <c r="F57" s="357"/>
      <c r="G57" s="357"/>
      <c r="H57" s="318"/>
      <c r="I57" s="358">
        <v>-155000</v>
      </c>
      <c r="J57" s="359"/>
    </row>
    <row r="58" spans="1:10" x14ac:dyDescent="0.2">
      <c r="A58" s="185" t="s">
        <v>1577</v>
      </c>
      <c r="B58" s="357"/>
      <c r="C58" s="357"/>
      <c r="D58" s="357"/>
      <c r="E58" s="357"/>
      <c r="F58" s="357"/>
      <c r="G58" s="357"/>
      <c r="H58" s="318"/>
      <c r="I58" s="358">
        <v>155000</v>
      </c>
      <c r="J58" s="359"/>
    </row>
    <row r="59" spans="1:10" x14ac:dyDescent="0.2">
      <c r="A59" s="187" t="s">
        <v>1596</v>
      </c>
      <c r="B59" s="188"/>
      <c r="C59" s="188"/>
      <c r="D59" s="188"/>
      <c r="E59" s="188"/>
      <c r="F59" s="188"/>
      <c r="G59" s="188"/>
      <c r="H59" s="189"/>
      <c r="I59" s="190">
        <v>-133725</v>
      </c>
      <c r="J59" s="191"/>
    </row>
    <row r="60" spans="1:10" x14ac:dyDescent="0.2">
      <c r="A60" s="185"/>
      <c r="B60" s="357"/>
      <c r="C60" s="357"/>
      <c r="D60" s="357"/>
      <c r="E60" s="357"/>
      <c r="F60" s="357"/>
      <c r="G60" s="357"/>
      <c r="H60" s="318"/>
      <c r="I60" s="358"/>
      <c r="J60" s="359"/>
    </row>
    <row r="61" spans="1:10" ht="13.5" thickBot="1" x14ac:dyDescent="0.25">
      <c r="A61" s="144" t="s">
        <v>50</v>
      </c>
      <c r="B61" s="144"/>
      <c r="C61" s="144"/>
      <c r="D61" s="144"/>
      <c r="E61" s="144"/>
      <c r="F61" s="144"/>
      <c r="G61" s="144"/>
      <c r="H61" s="144"/>
      <c r="I61" s="264">
        <f>I41</f>
        <v>1164636.6200000001</v>
      </c>
      <c r="J61" s="264"/>
    </row>
    <row r="62" spans="1:10" ht="13.5" thickTop="1" x14ac:dyDescent="0.2">
      <c r="H62" s="18" t="s">
        <v>33</v>
      </c>
      <c r="I62" s="129">
        <f>I44+I45+I46+I47+I48+I49+I50+I51+I52+I53+I54+I55-I56+I57+I58+I59-I61</f>
        <v>309511.46799999988</v>
      </c>
      <c r="J62" s="130"/>
    </row>
    <row r="64" spans="1:10" ht="15" x14ac:dyDescent="0.25">
      <c r="A64" s="131" t="s">
        <v>51</v>
      </c>
      <c r="B64" s="132"/>
      <c r="C64" s="132"/>
      <c r="D64" s="132"/>
      <c r="E64" s="132"/>
      <c r="F64" s="132"/>
      <c r="G64" s="132"/>
      <c r="H64" s="132"/>
      <c r="I64" s="132"/>
      <c r="J64" s="133"/>
    </row>
    <row r="65" spans="1:11" x14ac:dyDescent="0.2">
      <c r="A65" s="139" t="s">
        <v>687</v>
      </c>
      <c r="B65" s="139"/>
      <c r="C65" s="139"/>
      <c r="D65" s="139"/>
      <c r="E65" s="139"/>
      <c r="F65" s="139"/>
      <c r="G65" s="139"/>
      <c r="H65" s="139"/>
      <c r="I65" s="139"/>
      <c r="J65" s="139"/>
    </row>
    <row r="66" spans="1:11" x14ac:dyDescent="0.2">
      <c r="A66" s="139"/>
      <c r="B66" s="139"/>
      <c r="C66" s="139"/>
      <c r="D66" s="139"/>
      <c r="E66" s="139"/>
      <c r="F66" s="139"/>
      <c r="G66" s="139"/>
      <c r="H66" s="139"/>
      <c r="I66" s="139"/>
      <c r="J66" s="139"/>
    </row>
    <row r="67" spans="1:11" x14ac:dyDescent="0.2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68"/>
    </row>
    <row r="68" spans="1:11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</row>
    <row r="69" spans="1:11" x14ac:dyDescent="0.2">
      <c r="A69" s="139"/>
      <c r="B69" s="139"/>
      <c r="C69" s="139"/>
      <c r="D69" s="139"/>
      <c r="E69" s="139"/>
      <c r="F69" s="139"/>
      <c r="G69" s="139"/>
      <c r="H69" s="139"/>
      <c r="I69" s="139"/>
      <c r="J69" s="139"/>
    </row>
    <row r="70" spans="1:11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</row>
  </sheetData>
  <mergeCells count="161">
    <mergeCell ref="I35:J35"/>
    <mergeCell ref="G39:H39"/>
    <mergeCell ref="I39:J39"/>
    <mergeCell ref="G35:H35"/>
    <mergeCell ref="G19:H19"/>
    <mergeCell ref="G20:H20"/>
    <mergeCell ref="I25:J26"/>
    <mergeCell ref="G27:H27"/>
    <mergeCell ref="I27:J27"/>
    <mergeCell ref="I30:J30"/>
    <mergeCell ref="I28:J28"/>
    <mergeCell ref="I31:J31"/>
    <mergeCell ref="I33:J33"/>
    <mergeCell ref="G33:H33"/>
    <mergeCell ref="E35:F35"/>
    <mergeCell ref="B19:C19"/>
    <mergeCell ref="B20:C20"/>
    <mergeCell ref="D19:E19"/>
    <mergeCell ref="D20:E20"/>
    <mergeCell ref="B17:C17"/>
    <mergeCell ref="D17:E17"/>
    <mergeCell ref="G17:H17"/>
    <mergeCell ref="A46:H46"/>
    <mergeCell ref="D25:D26"/>
    <mergeCell ref="E25:F26"/>
    <mergeCell ref="G25:H26"/>
    <mergeCell ref="B28:C28"/>
    <mergeCell ref="E28:F28"/>
    <mergeCell ref="G28:H28"/>
    <mergeCell ref="B27:C27"/>
    <mergeCell ref="E27:F27"/>
    <mergeCell ref="E31:F31"/>
    <mergeCell ref="G31:H31"/>
    <mergeCell ref="B32:C32"/>
    <mergeCell ref="B36:C36"/>
    <mergeCell ref="E36:F36"/>
    <mergeCell ref="G34:H34"/>
    <mergeCell ref="B33:C33"/>
    <mergeCell ref="E33:F33"/>
    <mergeCell ref="B16:C16"/>
    <mergeCell ref="D16:E16"/>
    <mergeCell ref="G16:H16"/>
    <mergeCell ref="I46:J46"/>
    <mergeCell ref="B21:C21"/>
    <mergeCell ref="D21:E21"/>
    <mergeCell ref="G21:H21"/>
    <mergeCell ref="A24:J24"/>
    <mergeCell ref="A25:A26"/>
    <mergeCell ref="B25:C26"/>
    <mergeCell ref="B30:C30"/>
    <mergeCell ref="E30:F30"/>
    <mergeCell ref="G30:H30"/>
    <mergeCell ref="B18:C18"/>
    <mergeCell ref="D18:E18"/>
    <mergeCell ref="G18:H18"/>
    <mergeCell ref="B29:C29"/>
    <mergeCell ref="E29:F29"/>
    <mergeCell ref="G29:H29"/>
    <mergeCell ref="I29:J29"/>
    <mergeCell ref="E32:F32"/>
    <mergeCell ref="G32:H32"/>
    <mergeCell ref="I32:J32"/>
    <mergeCell ref="G14:H14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13:C13"/>
    <mergeCell ref="D13:E13"/>
    <mergeCell ref="G13:H13"/>
    <mergeCell ref="B7:C7"/>
    <mergeCell ref="D7:E7"/>
    <mergeCell ref="I47:J47"/>
    <mergeCell ref="I62:J62"/>
    <mergeCell ref="G7:H7"/>
    <mergeCell ref="B8:C8"/>
    <mergeCell ref="G12:H12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B31:C31"/>
    <mergeCell ref="B15:C15"/>
    <mergeCell ref="D15:E15"/>
    <mergeCell ref="G15:H15"/>
    <mergeCell ref="B14:C14"/>
    <mergeCell ref="D14:E14"/>
    <mergeCell ref="I48:J48"/>
    <mergeCell ref="A48:H48"/>
    <mergeCell ref="B34:C34"/>
    <mergeCell ref="E34:F34"/>
    <mergeCell ref="A65:J70"/>
    <mergeCell ref="A45:H45"/>
    <mergeCell ref="I45:J45"/>
    <mergeCell ref="A61:H61"/>
    <mergeCell ref="I61:J61"/>
    <mergeCell ref="A55:H55"/>
    <mergeCell ref="I55:J55"/>
    <mergeCell ref="A64:J64"/>
    <mergeCell ref="G36:H36"/>
    <mergeCell ref="I36:J36"/>
    <mergeCell ref="A54:H54"/>
    <mergeCell ref="A52:H52"/>
    <mergeCell ref="I52:J52"/>
    <mergeCell ref="G40:H40"/>
    <mergeCell ref="I40:J40"/>
    <mergeCell ref="I54:J54"/>
    <mergeCell ref="E39:F39"/>
    <mergeCell ref="I34:J34"/>
    <mergeCell ref="B35:C35"/>
    <mergeCell ref="A47:H47"/>
    <mergeCell ref="A57:H57"/>
    <mergeCell ref="I57:J57"/>
    <mergeCell ref="I53:J53"/>
    <mergeCell ref="A51:H51"/>
    <mergeCell ref="I51:J51"/>
    <mergeCell ref="I49:J49"/>
    <mergeCell ref="A49:H49"/>
    <mergeCell ref="A50:H50"/>
    <mergeCell ref="I50:J50"/>
    <mergeCell ref="A58:H58"/>
    <mergeCell ref="I58:J58"/>
    <mergeCell ref="A59:H59"/>
    <mergeCell ref="I59:J59"/>
    <mergeCell ref="A60:H60"/>
    <mergeCell ref="I60:J60"/>
    <mergeCell ref="B40:C40"/>
    <mergeCell ref="E40:F40"/>
    <mergeCell ref="B37:C37"/>
    <mergeCell ref="E37:F37"/>
    <mergeCell ref="G37:H37"/>
    <mergeCell ref="I37:J37"/>
    <mergeCell ref="B38:C38"/>
    <mergeCell ref="E38:F38"/>
    <mergeCell ref="G38:H38"/>
    <mergeCell ref="I38:J38"/>
    <mergeCell ref="B39:C39"/>
    <mergeCell ref="I41:J41"/>
    <mergeCell ref="I43:J43"/>
    <mergeCell ref="A44:H44"/>
    <mergeCell ref="I44:J44"/>
    <mergeCell ref="A53:H53"/>
    <mergeCell ref="A56:H56"/>
    <mergeCell ref="I56:J56"/>
  </mergeCells>
  <phoneticPr fontId="6" type="noConversion"/>
  <pageMargins left="0.75" right="0.75" top="1" bottom="1" header="0.5" footer="0.5"/>
  <pageSetup scale="81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2">
    <pageSetUpPr fitToPage="1"/>
  </sheetPr>
  <dimension ref="A1:J42"/>
  <sheetViews>
    <sheetView topLeftCell="A13" workbookViewId="0">
      <selection activeCell="I25" sqref="I25:J25"/>
    </sheetView>
  </sheetViews>
  <sheetFormatPr defaultRowHeight="12.75" x14ac:dyDescent="0.2"/>
  <cols>
    <col min="6" max="6" width="12.85546875" customWidth="1"/>
    <col min="9" max="9" width="11.14062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688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7444133</v>
      </c>
      <c r="C6" s="128"/>
      <c r="D6" s="128">
        <v>7444222</v>
      </c>
      <c r="E6" s="128"/>
      <c r="F6" s="12">
        <v>39863</v>
      </c>
      <c r="G6" s="169"/>
      <c r="H6" s="169"/>
      <c r="I6" s="32">
        <v>188025.29</v>
      </c>
      <c r="J6" s="32">
        <f>I6*0.8</f>
        <v>150420.23200000002</v>
      </c>
    </row>
    <row r="7" spans="1:10" x14ac:dyDescent="0.2">
      <c r="A7" s="9">
        <v>2</v>
      </c>
      <c r="B7" s="128">
        <v>7434537</v>
      </c>
      <c r="C7" s="128"/>
      <c r="D7" s="128">
        <v>7434855</v>
      </c>
      <c r="E7" s="128"/>
      <c r="F7" s="12">
        <v>40218</v>
      </c>
      <c r="G7" s="169"/>
      <c r="H7" s="169"/>
      <c r="I7" s="32">
        <v>175513.43</v>
      </c>
      <c r="J7" s="32">
        <f>I7*0.8</f>
        <v>140410.74400000001</v>
      </c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2"/>
      <c r="J8" s="32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33">
        <f>SUM(I6:I13)</f>
        <v>363538.72</v>
      </c>
      <c r="J14" s="33">
        <f>SUM(J6:J13)</f>
        <v>290830.97600000002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>
        <v>426645</v>
      </c>
      <c r="C19" s="128"/>
      <c r="D19" s="9">
        <v>80859</v>
      </c>
      <c r="E19" s="182">
        <v>40245</v>
      </c>
      <c r="F19" s="128"/>
      <c r="G19" s="128" t="s">
        <v>690</v>
      </c>
      <c r="H19" s="128"/>
      <c r="I19" s="136">
        <v>121028.23</v>
      </c>
      <c r="J19" s="136"/>
    </row>
    <row r="20" spans="1:10" x14ac:dyDescent="0.2">
      <c r="A20" s="9">
        <v>2</v>
      </c>
      <c r="B20" s="183">
        <v>426644</v>
      </c>
      <c r="C20" s="128"/>
      <c r="D20" s="9">
        <v>80858</v>
      </c>
      <c r="E20" s="182">
        <v>40630</v>
      </c>
      <c r="F20" s="128"/>
      <c r="G20" s="128" t="s">
        <v>691</v>
      </c>
      <c r="H20" s="128"/>
      <c r="I20" s="136">
        <v>102953.3</v>
      </c>
      <c r="J20" s="136"/>
    </row>
    <row r="21" spans="1:10" x14ac:dyDescent="0.2">
      <c r="A21" s="9">
        <v>3</v>
      </c>
      <c r="B21" s="128"/>
      <c r="C21" s="128"/>
      <c r="D21" s="9">
        <v>85081</v>
      </c>
      <c r="E21" s="182">
        <v>40934</v>
      </c>
      <c r="F21" s="128"/>
      <c r="G21" s="128" t="s">
        <v>11</v>
      </c>
      <c r="H21" s="128"/>
      <c r="I21" s="136">
        <v>71149.61</v>
      </c>
      <c r="J21" s="136"/>
    </row>
    <row r="22" spans="1:10" x14ac:dyDescent="0.2">
      <c r="A22" s="19">
        <v>4</v>
      </c>
      <c r="B22" s="137"/>
      <c r="C22" s="137"/>
      <c r="D22" s="19">
        <v>85072</v>
      </c>
      <c r="E22" s="196">
        <v>41806</v>
      </c>
      <c r="F22" s="137"/>
      <c r="G22" s="137" t="s">
        <v>858</v>
      </c>
      <c r="H22" s="137"/>
      <c r="I22" s="138">
        <f>76452.72*1.05+1954.6</f>
        <v>82229.956000000006</v>
      </c>
      <c r="J22" s="138"/>
    </row>
    <row r="23" spans="1:10" x14ac:dyDescent="0.2">
      <c r="A23" s="63">
        <v>5</v>
      </c>
      <c r="B23" s="373"/>
      <c r="C23" s="373"/>
      <c r="D23" s="63">
        <v>85074</v>
      </c>
      <c r="E23" s="374">
        <v>41908</v>
      </c>
      <c r="F23" s="373"/>
      <c r="G23" s="373" t="s">
        <v>962</v>
      </c>
      <c r="H23" s="373"/>
      <c r="I23" s="375">
        <v>72782.86</v>
      </c>
      <c r="J23" s="375"/>
    </row>
    <row r="24" spans="1:10" x14ac:dyDescent="0.2">
      <c r="A24" s="19"/>
      <c r="B24" s="137"/>
      <c r="C24" s="137"/>
      <c r="D24" s="19">
        <v>86919</v>
      </c>
      <c r="E24" s="137"/>
      <c r="F24" s="137"/>
      <c r="G24" s="137" t="s">
        <v>963</v>
      </c>
      <c r="H24" s="137"/>
      <c r="I24" s="138">
        <v>1197.4000000000001</v>
      </c>
      <c r="J24" s="138"/>
    </row>
    <row r="25" spans="1:10" x14ac:dyDescent="0.2">
      <c r="A25" s="19">
        <v>6</v>
      </c>
      <c r="B25" s="137"/>
      <c r="C25" s="137"/>
      <c r="D25" s="19">
        <v>105970</v>
      </c>
      <c r="E25" s="196">
        <v>44118</v>
      </c>
      <c r="F25" s="137"/>
      <c r="G25" s="137" t="s">
        <v>1260</v>
      </c>
      <c r="H25" s="137"/>
      <c r="I25" s="138">
        <v>39489.620000000003</v>
      </c>
      <c r="J25" s="138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490830.97600000002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290830.97599999997</v>
      </c>
      <c r="J31" s="148"/>
    </row>
    <row r="32" spans="1:10" x14ac:dyDescent="0.2">
      <c r="A32" s="231" t="s">
        <v>579</v>
      </c>
      <c r="B32" s="144"/>
      <c r="C32" s="144"/>
      <c r="D32" s="144"/>
      <c r="E32" s="144"/>
      <c r="F32" s="144"/>
      <c r="G32" s="144"/>
      <c r="H32" s="144"/>
      <c r="I32" s="184">
        <f>200000</f>
        <v>200000</v>
      </c>
      <c r="J32" s="184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145">
        <f>I28</f>
        <v>490830.97600000002</v>
      </c>
      <c r="J33" s="145"/>
    </row>
    <row r="34" spans="1:10" ht="13.5" thickTop="1" x14ac:dyDescent="0.2">
      <c r="H34" s="18" t="s">
        <v>33</v>
      </c>
      <c r="I34" s="129">
        <f>I31+I32-I33</f>
        <v>0</v>
      </c>
      <c r="J34" s="130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207" t="s">
        <v>689</v>
      </c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87"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I17:J18"/>
    <mergeCell ref="B21:C21"/>
    <mergeCell ref="E21:F21"/>
    <mergeCell ref="G21:H21"/>
    <mergeCell ref="I21:J21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6:C26"/>
    <mergeCell ref="E26:F26"/>
    <mergeCell ref="G26:H26"/>
    <mergeCell ref="I26:J26"/>
    <mergeCell ref="B24:C24"/>
    <mergeCell ref="E24:F24"/>
    <mergeCell ref="G24:H24"/>
    <mergeCell ref="I24:J24"/>
    <mergeCell ref="B25:C25"/>
    <mergeCell ref="E25:F25"/>
    <mergeCell ref="G25:H25"/>
    <mergeCell ref="I25:J25"/>
    <mergeCell ref="I30:J30"/>
    <mergeCell ref="A31:H31"/>
    <mergeCell ref="I31:J31"/>
    <mergeCell ref="B27:C27"/>
    <mergeCell ref="E27:F27"/>
    <mergeCell ref="G27:H27"/>
    <mergeCell ref="I27:J27"/>
    <mergeCell ref="I28:J28"/>
    <mergeCell ref="I34:J34"/>
    <mergeCell ref="A36:J36"/>
    <mergeCell ref="A37:J42"/>
    <mergeCell ref="A32:H32"/>
    <mergeCell ref="I32:J32"/>
    <mergeCell ref="A33:H33"/>
    <mergeCell ref="I33:J33"/>
  </mergeCells>
  <phoneticPr fontId="6" type="noConversion"/>
  <pageMargins left="0.75" right="0.75" top="1" bottom="1" header="0.5" footer="0.5"/>
  <pageSetup scale="9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53">
    <pageSetUpPr fitToPage="1"/>
  </sheetPr>
  <dimension ref="A1:K57"/>
  <sheetViews>
    <sheetView topLeftCell="A34" zoomScaleNormal="100" workbookViewId="0">
      <selection activeCell="K43" sqref="K43"/>
    </sheetView>
  </sheetViews>
  <sheetFormatPr defaultRowHeight="12.75" x14ac:dyDescent="0.2"/>
  <cols>
    <col min="6" max="6" width="11.7109375" customWidth="1"/>
    <col min="8" max="8" width="12" customWidth="1"/>
    <col min="9" max="9" width="11.7109375" bestFit="1" customWidth="1"/>
    <col min="10" max="10" width="12.7109375" bestFit="1" customWidth="1"/>
    <col min="11" max="11" width="11.1406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692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4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0" x14ac:dyDescent="0.2">
      <c r="A6" s="9">
        <v>1</v>
      </c>
      <c r="B6" s="128">
        <v>7534523</v>
      </c>
      <c r="C6" s="128"/>
      <c r="D6" s="128">
        <v>7534523</v>
      </c>
      <c r="E6" s="128"/>
      <c r="F6" s="12">
        <v>34123</v>
      </c>
      <c r="G6" s="169" t="s">
        <v>693</v>
      </c>
      <c r="H6" s="169"/>
      <c r="I6" s="69">
        <v>325892.17</v>
      </c>
      <c r="J6" s="70">
        <f>I6*0.8</f>
        <v>260713.736</v>
      </c>
    </row>
    <row r="7" spans="1:10" x14ac:dyDescent="0.2">
      <c r="A7" s="9">
        <v>2</v>
      </c>
      <c r="B7" s="128">
        <v>7549199</v>
      </c>
      <c r="C7" s="128"/>
      <c r="D7" s="128">
        <v>7549202</v>
      </c>
      <c r="E7" s="128"/>
      <c r="F7" s="12">
        <v>34123</v>
      </c>
      <c r="G7" s="169" t="s">
        <v>694</v>
      </c>
      <c r="H7" s="169"/>
      <c r="I7" s="69">
        <v>116002.06</v>
      </c>
      <c r="J7" s="70">
        <f>I7*0.8</f>
        <v>92801.648000000001</v>
      </c>
    </row>
    <row r="8" spans="1:10" x14ac:dyDescent="0.2">
      <c r="A8" s="9">
        <v>3</v>
      </c>
      <c r="B8" s="128">
        <v>7554168</v>
      </c>
      <c r="C8" s="128"/>
      <c r="D8" s="128">
        <v>7554176</v>
      </c>
      <c r="E8" s="128"/>
      <c r="F8" s="12">
        <v>35081</v>
      </c>
      <c r="G8" s="169" t="s">
        <v>695</v>
      </c>
      <c r="H8" s="169"/>
      <c r="I8" s="69">
        <v>120798.5</v>
      </c>
      <c r="J8" s="70">
        <f>I8*0.8</f>
        <v>96638.8</v>
      </c>
    </row>
    <row r="9" spans="1:10" x14ac:dyDescent="0.2">
      <c r="A9" s="9">
        <v>4</v>
      </c>
      <c r="B9" s="128">
        <v>7530307</v>
      </c>
      <c r="C9" s="128"/>
      <c r="D9" s="128">
        <v>7534051</v>
      </c>
      <c r="E9" s="128"/>
      <c r="F9" s="12">
        <v>35081</v>
      </c>
      <c r="G9" s="169" t="s">
        <v>696</v>
      </c>
      <c r="H9" s="169"/>
      <c r="I9" s="69">
        <v>140366.70000000001</v>
      </c>
      <c r="J9" s="70">
        <f>I9*0.8</f>
        <v>112293.36000000002</v>
      </c>
    </row>
    <row r="10" spans="1:10" x14ac:dyDescent="0.2">
      <c r="A10" s="9">
        <v>5</v>
      </c>
      <c r="B10" s="128">
        <v>7533594</v>
      </c>
      <c r="C10" s="128"/>
      <c r="D10" s="128"/>
      <c r="E10" s="128"/>
      <c r="F10" s="12">
        <v>35691</v>
      </c>
      <c r="G10" s="169" t="s">
        <v>697</v>
      </c>
      <c r="H10" s="169"/>
      <c r="I10" s="69">
        <v>273170.2</v>
      </c>
      <c r="J10" s="70">
        <f>I10*0.8</f>
        <v>218536.16000000003</v>
      </c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69"/>
      <c r="J11" s="70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69"/>
      <c r="J12" s="70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71"/>
      <c r="J13" s="72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66">
        <f>SUM(I6:I13)</f>
        <v>976229.62999999989</v>
      </c>
      <c r="J14" s="66">
        <f>SUM(J6:J13)</f>
        <v>780983.70400000003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1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1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1" x14ac:dyDescent="0.2">
      <c r="A19" s="9">
        <v>1</v>
      </c>
      <c r="B19" s="183" t="s">
        <v>698</v>
      </c>
      <c r="C19" s="128"/>
      <c r="D19" s="9">
        <v>10862</v>
      </c>
      <c r="E19" s="182">
        <v>36373</v>
      </c>
      <c r="F19" s="128"/>
      <c r="G19" s="128">
        <v>7504001</v>
      </c>
      <c r="H19" s="128"/>
      <c r="I19" s="136">
        <v>358197</v>
      </c>
      <c r="J19" s="136"/>
    </row>
    <row r="20" spans="1:11" x14ac:dyDescent="0.2">
      <c r="A20" s="9">
        <v>2</v>
      </c>
      <c r="B20" s="183" t="s">
        <v>699</v>
      </c>
      <c r="C20" s="128"/>
      <c r="D20" s="9">
        <v>16695</v>
      </c>
      <c r="E20" s="182">
        <v>36923</v>
      </c>
      <c r="F20" s="128"/>
      <c r="G20" s="128" t="s">
        <v>700</v>
      </c>
      <c r="H20" s="128"/>
      <c r="I20" s="136">
        <v>327980</v>
      </c>
      <c r="J20" s="136"/>
    </row>
    <row r="21" spans="1:11" x14ac:dyDescent="0.2">
      <c r="A21" s="19">
        <v>3</v>
      </c>
      <c r="B21" s="137">
        <v>475041</v>
      </c>
      <c r="C21" s="137"/>
      <c r="D21" s="19">
        <v>24005</v>
      </c>
      <c r="E21" s="137" t="s">
        <v>648</v>
      </c>
      <c r="F21" s="137"/>
      <c r="G21" s="137" t="s">
        <v>701</v>
      </c>
      <c r="H21" s="137"/>
      <c r="I21" s="138">
        <v>48659</v>
      </c>
      <c r="J21" s="138"/>
    </row>
    <row r="22" spans="1:11" x14ac:dyDescent="0.2">
      <c r="A22" s="82">
        <v>4</v>
      </c>
      <c r="B22" s="128"/>
      <c r="C22" s="128"/>
      <c r="D22" s="82">
        <v>113819</v>
      </c>
      <c r="E22" s="128"/>
      <c r="F22" s="128"/>
      <c r="G22" s="198" t="s">
        <v>1418</v>
      </c>
      <c r="H22" s="198"/>
      <c r="I22" s="199">
        <v>515800</v>
      </c>
      <c r="J22" s="199"/>
    </row>
    <row r="23" spans="1:11" x14ac:dyDescent="0.2">
      <c r="A23" s="9"/>
      <c r="B23" s="128"/>
      <c r="C23" s="128"/>
      <c r="D23" s="9"/>
      <c r="E23" s="128"/>
      <c r="F23" s="128"/>
      <c r="G23" s="230"/>
      <c r="H23" s="128"/>
      <c r="I23" s="136"/>
      <c r="J23" s="136"/>
    </row>
    <row r="24" spans="1:11" x14ac:dyDescent="0.2">
      <c r="A24" s="9"/>
      <c r="B24" s="128"/>
      <c r="C24" s="128"/>
      <c r="D24" s="9"/>
      <c r="E24" s="128"/>
      <c r="F24" s="128"/>
      <c r="G24" s="332"/>
      <c r="H24" s="128"/>
      <c r="I24" s="136"/>
      <c r="J24" s="136"/>
    </row>
    <row r="25" spans="1:11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1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1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1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1250636</v>
      </c>
      <c r="J28" s="140"/>
    </row>
    <row r="29" spans="1:1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1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1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780983.70399999991</v>
      </c>
      <c r="J31" s="148"/>
    </row>
    <row r="32" spans="1:11" x14ac:dyDescent="0.2">
      <c r="A32" s="144" t="s">
        <v>49</v>
      </c>
      <c r="B32" s="144"/>
      <c r="C32" s="144"/>
      <c r="D32" s="144"/>
      <c r="E32" s="144"/>
      <c r="F32" s="144"/>
      <c r="G32" s="144"/>
      <c r="H32" s="144"/>
      <c r="I32" s="184">
        <v>1</v>
      </c>
      <c r="J32" s="184"/>
      <c r="K32" s="107"/>
    </row>
    <row r="33" spans="1:11" x14ac:dyDescent="0.2">
      <c r="A33" s="376" t="s">
        <v>889</v>
      </c>
      <c r="B33" s="376"/>
      <c r="C33" s="376"/>
      <c r="D33" s="376"/>
      <c r="E33" s="376"/>
      <c r="F33" s="376"/>
      <c r="G33" s="376"/>
      <c r="H33" s="376"/>
      <c r="I33" s="377">
        <v>24289</v>
      </c>
      <c r="J33" s="377"/>
    </row>
    <row r="34" spans="1:11" x14ac:dyDescent="0.2">
      <c r="A34" s="376" t="s">
        <v>890</v>
      </c>
      <c r="B34" s="376"/>
      <c r="C34" s="376"/>
      <c r="D34" s="376"/>
      <c r="E34" s="376"/>
      <c r="F34" s="376"/>
      <c r="G34" s="376"/>
      <c r="H34" s="376"/>
      <c r="I34" s="377">
        <v>66494</v>
      </c>
      <c r="J34" s="377"/>
      <c r="K34" s="107"/>
    </row>
    <row r="35" spans="1:11" x14ac:dyDescent="0.2">
      <c r="A35" s="376" t="s">
        <v>891</v>
      </c>
      <c r="B35" s="376"/>
      <c r="C35" s="376"/>
      <c r="D35" s="376"/>
      <c r="E35" s="376"/>
      <c r="F35" s="376"/>
      <c r="G35" s="376"/>
      <c r="H35" s="376"/>
      <c r="I35" s="377">
        <v>28250</v>
      </c>
      <c r="J35" s="377"/>
    </row>
    <row r="36" spans="1:11" x14ac:dyDescent="0.2">
      <c r="A36" s="376" t="s">
        <v>976</v>
      </c>
      <c r="B36" s="376"/>
      <c r="C36" s="376"/>
      <c r="D36" s="376"/>
      <c r="E36" s="376"/>
      <c r="F36" s="376"/>
      <c r="G36" s="376"/>
      <c r="H36" s="376"/>
      <c r="I36" s="377">
        <v>-4048</v>
      </c>
      <c r="J36" s="377"/>
    </row>
    <row r="37" spans="1:11" x14ac:dyDescent="0.2">
      <c r="A37" s="376" t="s">
        <v>981</v>
      </c>
      <c r="B37" s="376"/>
      <c r="C37" s="376"/>
      <c r="D37" s="376"/>
      <c r="E37" s="376"/>
      <c r="F37" s="376"/>
      <c r="G37" s="376"/>
      <c r="H37" s="376"/>
      <c r="I37" s="377">
        <v>-2318.1999999999998</v>
      </c>
      <c r="J37" s="377"/>
    </row>
    <row r="38" spans="1:11" x14ac:dyDescent="0.2">
      <c r="A38" s="231" t="s">
        <v>982</v>
      </c>
      <c r="B38" s="231"/>
      <c r="C38" s="231"/>
      <c r="D38" s="231"/>
      <c r="E38" s="231"/>
      <c r="F38" s="231"/>
      <c r="G38" s="231"/>
      <c r="H38" s="231"/>
      <c r="I38" s="254">
        <v>-46149</v>
      </c>
      <c r="J38" s="254"/>
    </row>
    <row r="39" spans="1:11" x14ac:dyDescent="0.2">
      <c r="A39" s="376" t="s">
        <v>981</v>
      </c>
      <c r="B39" s="376"/>
      <c r="C39" s="376"/>
      <c r="D39" s="376"/>
      <c r="E39" s="376"/>
      <c r="F39" s="376"/>
      <c r="G39" s="376"/>
      <c r="H39" s="376"/>
      <c r="I39" s="377">
        <v>-1483</v>
      </c>
      <c r="J39" s="377"/>
    </row>
    <row r="40" spans="1:11" x14ac:dyDescent="0.2">
      <c r="A40" s="376" t="s">
        <v>1045</v>
      </c>
      <c r="B40" s="376"/>
      <c r="C40" s="376"/>
      <c r="D40" s="376"/>
      <c r="E40" s="376"/>
      <c r="F40" s="376"/>
      <c r="G40" s="376"/>
      <c r="H40" s="376"/>
      <c r="I40" s="377">
        <v>-23492.01</v>
      </c>
      <c r="J40" s="377"/>
    </row>
    <row r="41" spans="1:11" x14ac:dyDescent="0.2">
      <c r="A41" s="376" t="s">
        <v>1137</v>
      </c>
      <c r="B41" s="376"/>
      <c r="C41" s="376"/>
      <c r="D41" s="376"/>
      <c r="E41" s="376"/>
      <c r="F41" s="376"/>
      <c r="G41" s="376"/>
      <c r="H41" s="376"/>
      <c r="I41" s="377">
        <v>-8939.4</v>
      </c>
      <c r="J41" s="377"/>
    </row>
    <row r="42" spans="1:11" x14ac:dyDescent="0.2">
      <c r="A42" s="231" t="s">
        <v>1193</v>
      </c>
      <c r="B42" s="376"/>
      <c r="C42" s="376"/>
      <c r="D42" s="376"/>
      <c r="E42" s="376"/>
      <c r="F42" s="376"/>
      <c r="G42" s="376"/>
      <c r="H42" s="376"/>
      <c r="I42" s="254">
        <v>250000</v>
      </c>
      <c r="J42" s="254"/>
    </row>
    <row r="43" spans="1:11" x14ac:dyDescent="0.2">
      <c r="A43" s="231" t="s">
        <v>1211</v>
      </c>
      <c r="B43" s="231"/>
      <c r="C43" s="231"/>
      <c r="D43" s="231"/>
      <c r="E43" s="231"/>
      <c r="F43" s="231"/>
      <c r="G43" s="231"/>
      <c r="H43" s="231"/>
      <c r="I43" s="254">
        <v>250000</v>
      </c>
      <c r="J43" s="254"/>
    </row>
    <row r="44" spans="1:11" x14ac:dyDescent="0.2">
      <c r="A44" s="134" t="s">
        <v>1299</v>
      </c>
      <c r="B44" s="134"/>
      <c r="C44" s="134"/>
      <c r="D44" s="134"/>
      <c r="E44" s="134"/>
      <c r="F44" s="134"/>
      <c r="G44" s="134"/>
      <c r="H44" s="134"/>
      <c r="I44" s="135">
        <v>-424413.9</v>
      </c>
      <c r="J44" s="135"/>
    </row>
    <row r="45" spans="1:11" x14ac:dyDescent="0.2">
      <c r="A45" s="231" t="s">
        <v>1467</v>
      </c>
      <c r="B45" s="231"/>
      <c r="C45" s="231"/>
      <c r="D45" s="231"/>
      <c r="E45" s="231"/>
      <c r="F45" s="231"/>
      <c r="G45" s="231"/>
      <c r="H45" s="231"/>
      <c r="I45" s="254">
        <v>111461.81</v>
      </c>
      <c r="J45" s="254"/>
    </row>
    <row r="46" spans="1:11" x14ac:dyDescent="0.2">
      <c r="A46" s="231" t="s">
        <v>1465</v>
      </c>
      <c r="B46" s="231"/>
      <c r="C46" s="231"/>
      <c r="D46" s="231"/>
      <c r="E46" s="231"/>
      <c r="F46" s="231"/>
      <c r="G46" s="231"/>
      <c r="H46" s="231"/>
      <c r="I46" s="254">
        <v>250000</v>
      </c>
      <c r="J46" s="254"/>
    </row>
    <row r="47" spans="1:11" x14ac:dyDescent="0.2">
      <c r="A47" s="376"/>
      <c r="B47" s="376"/>
      <c r="C47" s="376"/>
      <c r="D47" s="376"/>
      <c r="E47" s="376"/>
      <c r="F47" s="376"/>
      <c r="G47" s="376"/>
      <c r="H47" s="376"/>
      <c r="I47" s="377"/>
      <c r="J47" s="377"/>
    </row>
    <row r="48" spans="1:11" ht="13.5" thickBot="1" x14ac:dyDescent="0.25">
      <c r="A48" s="144" t="s">
        <v>50</v>
      </c>
      <c r="B48" s="144"/>
      <c r="C48" s="144"/>
      <c r="D48" s="144"/>
      <c r="E48" s="144"/>
      <c r="F48" s="144"/>
      <c r="G48" s="144"/>
      <c r="H48" s="144"/>
      <c r="I48" s="145">
        <f>I28</f>
        <v>1250636</v>
      </c>
      <c r="J48" s="145"/>
    </row>
    <row r="49" spans="1:10" ht="13.5" thickTop="1" x14ac:dyDescent="0.2">
      <c r="H49" s="18" t="s">
        <v>33</v>
      </c>
      <c r="I49" s="129">
        <f>SUM(I31:I47)-I48</f>
        <v>3.9999999571591616E-3</v>
      </c>
      <c r="J49" s="130"/>
    </row>
    <row r="50" spans="1:10" x14ac:dyDescent="0.2">
      <c r="I50" s="28"/>
      <c r="J50" s="28"/>
    </row>
    <row r="51" spans="1:10" ht="15" x14ac:dyDescent="0.25">
      <c r="A51" s="131" t="s">
        <v>51</v>
      </c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x14ac:dyDescent="0.2">
      <c r="A52" s="206" t="s">
        <v>888</v>
      </c>
      <c r="B52" s="206"/>
      <c r="C52" s="206"/>
      <c r="D52" s="206"/>
      <c r="E52" s="206"/>
      <c r="F52" s="206"/>
      <c r="G52" s="206"/>
      <c r="H52" s="206"/>
      <c r="I52" s="206"/>
      <c r="J52" s="206"/>
    </row>
    <row r="53" spans="1:10" x14ac:dyDescent="0.2">
      <c r="A53" s="206"/>
      <c r="B53" s="206"/>
      <c r="C53" s="206"/>
      <c r="D53" s="206"/>
      <c r="E53" s="206"/>
      <c r="F53" s="206"/>
      <c r="G53" s="206"/>
      <c r="H53" s="206"/>
      <c r="I53" s="206"/>
      <c r="J53" s="206"/>
    </row>
    <row r="54" spans="1:10" x14ac:dyDescent="0.2">
      <c r="A54" s="206"/>
      <c r="B54" s="206"/>
      <c r="C54" s="206"/>
      <c r="D54" s="206"/>
      <c r="E54" s="206"/>
      <c r="F54" s="206"/>
      <c r="G54" s="206"/>
      <c r="H54" s="206"/>
      <c r="I54" s="206"/>
      <c r="J54" s="206"/>
    </row>
    <row r="55" spans="1:10" x14ac:dyDescent="0.2">
      <c r="A55" s="206"/>
      <c r="B55" s="206"/>
      <c r="C55" s="206"/>
      <c r="D55" s="206"/>
      <c r="E55" s="206"/>
      <c r="F55" s="206"/>
      <c r="G55" s="206"/>
      <c r="H55" s="206"/>
      <c r="I55" s="206"/>
      <c r="J55" s="206"/>
    </row>
    <row r="56" spans="1:10" x14ac:dyDescent="0.2">
      <c r="A56" s="206"/>
      <c r="B56" s="206"/>
      <c r="C56" s="206"/>
      <c r="D56" s="206"/>
      <c r="E56" s="206"/>
      <c r="F56" s="206"/>
      <c r="G56" s="206"/>
      <c r="H56" s="206"/>
      <c r="I56" s="206"/>
      <c r="J56" s="206"/>
    </row>
    <row r="57" spans="1:10" x14ac:dyDescent="0.2">
      <c r="A57" s="206"/>
      <c r="B57" s="206"/>
      <c r="C57" s="206"/>
      <c r="D57" s="206"/>
      <c r="E57" s="206"/>
      <c r="F57" s="206"/>
      <c r="G57" s="206"/>
      <c r="H57" s="206"/>
      <c r="I57" s="206"/>
      <c r="J57" s="206"/>
    </row>
  </sheetData>
  <mergeCells count="117">
    <mergeCell ref="A44:H44"/>
    <mergeCell ref="I44:J44"/>
    <mergeCell ref="A45:H45"/>
    <mergeCell ref="I45:J45"/>
    <mergeCell ref="A47:H47"/>
    <mergeCell ref="I47:J47"/>
    <mergeCell ref="A46:H46"/>
    <mergeCell ref="I46:J46"/>
    <mergeCell ref="A41:H41"/>
    <mergeCell ref="I41:J41"/>
    <mergeCell ref="A40:H40"/>
    <mergeCell ref="I40:J40"/>
    <mergeCell ref="B6:C6"/>
    <mergeCell ref="D6:E6"/>
    <mergeCell ref="G6:H6"/>
    <mergeCell ref="B8:C8"/>
    <mergeCell ref="D8:E8"/>
    <mergeCell ref="G8:H8"/>
    <mergeCell ref="B7:C7"/>
    <mergeCell ref="D7:E7"/>
    <mergeCell ref="B11:C11"/>
    <mergeCell ref="D11:E11"/>
    <mergeCell ref="G11:H11"/>
    <mergeCell ref="G7:H7"/>
    <mergeCell ref="B10:C10"/>
    <mergeCell ref="D10:E10"/>
    <mergeCell ref="G10:H10"/>
    <mergeCell ref="B9:C9"/>
    <mergeCell ref="D9:E9"/>
    <mergeCell ref="G9:H9"/>
    <mergeCell ref="I17:J18"/>
    <mergeCell ref="B13:C13"/>
    <mergeCell ref="D13:E13"/>
    <mergeCell ref="G13:H13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12:C12"/>
    <mergeCell ref="D12:E12"/>
    <mergeCell ref="G12:H12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B21:C21"/>
    <mergeCell ref="E21:F21"/>
    <mergeCell ref="G21:H21"/>
    <mergeCell ref="I21:J21"/>
    <mergeCell ref="B20:C20"/>
    <mergeCell ref="E20:F20"/>
    <mergeCell ref="G20:H20"/>
    <mergeCell ref="I20:J20"/>
    <mergeCell ref="B23:C23"/>
    <mergeCell ref="E23:F23"/>
    <mergeCell ref="G23:H23"/>
    <mergeCell ref="I23:J23"/>
    <mergeCell ref="B22:C22"/>
    <mergeCell ref="E22:F22"/>
    <mergeCell ref="G22:H22"/>
    <mergeCell ref="I22:J22"/>
    <mergeCell ref="B24:C24"/>
    <mergeCell ref="E24:F24"/>
    <mergeCell ref="G24:H24"/>
    <mergeCell ref="I24:J24"/>
    <mergeCell ref="B27:C27"/>
    <mergeCell ref="E27:F27"/>
    <mergeCell ref="G27:H27"/>
    <mergeCell ref="I27:J27"/>
    <mergeCell ref="B26:C26"/>
    <mergeCell ref="E26:F26"/>
    <mergeCell ref="G26:H26"/>
    <mergeCell ref="I26:J26"/>
    <mergeCell ref="A35:H35"/>
    <mergeCell ref="I28:J28"/>
    <mergeCell ref="I30:J30"/>
    <mergeCell ref="A31:H31"/>
    <mergeCell ref="I31:J31"/>
    <mergeCell ref="B25:C25"/>
    <mergeCell ref="E25:F25"/>
    <mergeCell ref="G25:H25"/>
    <mergeCell ref="I25:J25"/>
    <mergeCell ref="A37:H37"/>
    <mergeCell ref="I37:J37"/>
    <mergeCell ref="I49:J49"/>
    <mergeCell ref="A51:J51"/>
    <mergeCell ref="A52:J57"/>
    <mergeCell ref="A32:H32"/>
    <mergeCell ref="I32:J32"/>
    <mergeCell ref="A48:H48"/>
    <mergeCell ref="I48:J48"/>
    <mergeCell ref="A33:H33"/>
    <mergeCell ref="A42:H42"/>
    <mergeCell ref="I42:J42"/>
    <mergeCell ref="A43:H43"/>
    <mergeCell ref="I43:J43"/>
    <mergeCell ref="A36:H36"/>
    <mergeCell ref="I36:J36"/>
    <mergeCell ref="A39:H39"/>
    <mergeCell ref="I39:J39"/>
    <mergeCell ref="A38:H38"/>
    <mergeCell ref="I38:J38"/>
    <mergeCell ref="I33:J33"/>
    <mergeCell ref="I34:J34"/>
    <mergeCell ref="I35:J35"/>
    <mergeCell ref="A34:H34"/>
  </mergeCells>
  <phoneticPr fontId="6" type="noConversion"/>
  <pageMargins left="0.75" right="0.75" top="1" bottom="1" header="0.5" footer="0.5"/>
  <pageSetup scale="53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K140"/>
  <sheetViews>
    <sheetView topLeftCell="A112" workbookViewId="0">
      <selection activeCell="N128" sqref="N128"/>
    </sheetView>
  </sheetViews>
  <sheetFormatPr defaultRowHeight="12.75" x14ac:dyDescent="0.2"/>
  <cols>
    <col min="6" max="6" width="16.42578125" bestFit="1" customWidth="1"/>
    <col min="7" max="7" width="14" customWidth="1"/>
    <col min="8" max="8" width="13.28515625" customWidth="1"/>
    <col min="9" max="9" width="11.7109375" bestFit="1" customWidth="1"/>
    <col min="10" max="10" width="11.42578125" bestFit="1" customWidth="1"/>
    <col min="11" max="11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1464</v>
      </c>
      <c r="B2" s="6"/>
      <c r="C2" s="6"/>
      <c r="D2" s="6"/>
      <c r="E2" s="6"/>
      <c r="F2" s="6"/>
      <c r="G2" s="6"/>
      <c r="H2" s="6"/>
      <c r="I2" s="6"/>
      <c r="J2" s="7" t="s">
        <v>148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4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0" x14ac:dyDescent="0.2">
      <c r="A6" s="9"/>
      <c r="B6" s="128"/>
      <c r="C6" s="128"/>
      <c r="D6" s="128"/>
      <c r="E6" s="128"/>
      <c r="F6" s="12"/>
      <c r="G6" s="169"/>
      <c r="H6" s="169"/>
      <c r="I6" s="69"/>
      <c r="J6" s="70"/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69"/>
      <c r="J7" s="70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69"/>
      <c r="J8" s="70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69"/>
      <c r="J9" s="70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69"/>
      <c r="J10" s="70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69"/>
      <c r="J11" s="70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69"/>
      <c r="J12" s="70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71"/>
      <c r="J13" s="72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66">
        <f>SUM(I6:I13)</f>
        <v>0</v>
      </c>
      <c r="J14" s="66">
        <f>SUM(J6:J13)</f>
        <v>0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1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1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1" x14ac:dyDescent="0.2">
      <c r="A19" s="9"/>
      <c r="B19" s="183"/>
      <c r="C19" s="128"/>
      <c r="D19" s="9"/>
      <c r="E19" s="182"/>
      <c r="F19" s="128"/>
      <c r="G19" s="128"/>
      <c r="H19" s="128"/>
      <c r="I19" s="136"/>
      <c r="J19" s="136"/>
    </row>
    <row r="20" spans="1:11" x14ac:dyDescent="0.2">
      <c r="A20" s="9"/>
      <c r="B20" s="183"/>
      <c r="C20" s="128"/>
      <c r="D20" s="9"/>
      <c r="E20" s="182"/>
      <c r="F20" s="128"/>
      <c r="G20" s="128"/>
      <c r="H20" s="128"/>
      <c r="I20" s="136"/>
      <c r="J20" s="136"/>
    </row>
    <row r="21" spans="1:11" x14ac:dyDescent="0.2">
      <c r="A21" s="19"/>
      <c r="B21" s="137"/>
      <c r="C21" s="137"/>
      <c r="D21" s="19"/>
      <c r="E21" s="137"/>
      <c r="F21" s="137"/>
      <c r="G21" s="137"/>
      <c r="H21" s="137"/>
      <c r="I21" s="138"/>
      <c r="J21" s="138"/>
    </row>
    <row r="22" spans="1:11" x14ac:dyDescent="0.2">
      <c r="A22" s="82"/>
      <c r="B22" s="128"/>
      <c r="C22" s="128"/>
      <c r="D22" s="82"/>
      <c r="E22" s="128"/>
      <c r="F22" s="128"/>
      <c r="G22" s="198"/>
      <c r="H22" s="198"/>
      <c r="I22" s="199"/>
      <c r="J22" s="199"/>
    </row>
    <row r="23" spans="1:11" x14ac:dyDescent="0.2">
      <c r="A23" s="9"/>
      <c r="B23" s="128"/>
      <c r="C23" s="128"/>
      <c r="D23" s="9"/>
      <c r="E23" s="128"/>
      <c r="F23" s="128"/>
      <c r="G23" s="230"/>
      <c r="H23" s="128"/>
      <c r="I23" s="136"/>
      <c r="J23" s="136"/>
    </row>
    <row r="24" spans="1:11" x14ac:dyDescent="0.2">
      <c r="A24" s="9"/>
      <c r="B24" s="128"/>
      <c r="C24" s="128"/>
      <c r="D24" s="9"/>
      <c r="E24" s="128"/>
      <c r="F24" s="128"/>
      <c r="G24" s="332"/>
      <c r="H24" s="128"/>
      <c r="I24" s="136"/>
      <c r="J24" s="136"/>
    </row>
    <row r="25" spans="1:11" x14ac:dyDescent="0.2">
      <c r="A25" s="9"/>
      <c r="B25" s="128"/>
      <c r="C25" s="128"/>
      <c r="D25" s="9"/>
      <c r="E25" s="128"/>
      <c r="F25" s="128"/>
      <c r="G25" s="128"/>
      <c r="H25" s="128"/>
      <c r="I25" s="136"/>
      <c r="J25" s="136"/>
    </row>
    <row r="26" spans="1:11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1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1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0</v>
      </c>
      <c r="J28" s="140"/>
    </row>
    <row r="29" spans="1:1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1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1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0</v>
      </c>
      <c r="J31" s="148"/>
    </row>
    <row r="32" spans="1:11" x14ac:dyDescent="0.2">
      <c r="A32" s="134" t="s">
        <v>1135</v>
      </c>
      <c r="B32" s="134"/>
      <c r="C32" s="134"/>
      <c r="D32" s="134"/>
      <c r="E32" s="134"/>
      <c r="F32" s="134"/>
      <c r="G32" s="134"/>
      <c r="H32" s="134"/>
      <c r="I32" s="135">
        <v>102126.9</v>
      </c>
      <c r="J32" s="135"/>
      <c r="K32" s="107"/>
    </row>
    <row r="33" spans="1:10" x14ac:dyDescent="0.2">
      <c r="A33" s="134" t="s">
        <v>1143</v>
      </c>
      <c r="B33" s="134"/>
      <c r="C33" s="134"/>
      <c r="D33" s="134"/>
      <c r="E33" s="134"/>
      <c r="F33" s="134"/>
      <c r="G33" s="134"/>
      <c r="H33" s="134"/>
      <c r="I33" s="135">
        <v>88275.4</v>
      </c>
      <c r="J33" s="135"/>
    </row>
    <row r="34" spans="1:10" x14ac:dyDescent="0.2">
      <c r="A34" s="134" t="s">
        <v>1157</v>
      </c>
      <c r="B34" s="134"/>
      <c r="C34" s="134"/>
      <c r="D34" s="134"/>
      <c r="E34" s="134"/>
      <c r="F34" s="134"/>
      <c r="G34" s="134"/>
      <c r="H34" s="134"/>
      <c r="I34" s="135">
        <v>111000.97</v>
      </c>
      <c r="J34" s="135"/>
    </row>
    <row r="35" spans="1:10" x14ac:dyDescent="0.2">
      <c r="A35" s="378" t="s">
        <v>1170</v>
      </c>
      <c r="B35" s="379"/>
      <c r="C35" s="379"/>
      <c r="D35" s="379"/>
      <c r="E35" s="379"/>
      <c r="F35" s="379"/>
      <c r="G35" s="379"/>
      <c r="H35" s="379"/>
      <c r="I35" s="380">
        <v>-60000</v>
      </c>
      <c r="J35" s="380"/>
    </row>
    <row r="36" spans="1:10" x14ac:dyDescent="0.2">
      <c r="A36" s="378" t="s">
        <v>1195</v>
      </c>
      <c r="B36" s="379"/>
      <c r="C36" s="379"/>
      <c r="D36" s="379"/>
      <c r="E36" s="379"/>
      <c r="F36" s="379"/>
      <c r="G36" s="379"/>
      <c r="H36" s="379"/>
      <c r="I36" s="380">
        <v>-15000</v>
      </c>
      <c r="J36" s="380"/>
    </row>
    <row r="37" spans="1:10" x14ac:dyDescent="0.2">
      <c r="A37" s="134" t="s">
        <v>1174</v>
      </c>
      <c r="B37" s="134"/>
      <c r="C37" s="134"/>
      <c r="D37" s="134"/>
      <c r="E37" s="134"/>
      <c r="F37" s="134"/>
      <c r="G37" s="134"/>
      <c r="H37" s="134"/>
      <c r="I37" s="135">
        <v>68221.649999999994</v>
      </c>
      <c r="J37" s="135"/>
    </row>
    <row r="38" spans="1:10" x14ac:dyDescent="0.2">
      <c r="A38" s="134" t="s">
        <v>1198</v>
      </c>
      <c r="B38" s="134"/>
      <c r="C38" s="134"/>
      <c r="D38" s="134"/>
      <c r="E38" s="134"/>
      <c r="F38" s="134"/>
      <c r="G38" s="134"/>
      <c r="H38" s="134"/>
      <c r="I38" s="135">
        <v>49843.8</v>
      </c>
      <c r="J38" s="135"/>
    </row>
    <row r="39" spans="1:10" x14ac:dyDescent="0.2">
      <c r="A39" s="134" t="s">
        <v>1210</v>
      </c>
      <c r="B39" s="134"/>
      <c r="C39" s="134"/>
      <c r="D39" s="134"/>
      <c r="E39" s="134"/>
      <c r="F39" s="134"/>
      <c r="G39" s="134"/>
      <c r="H39" s="134"/>
      <c r="I39" s="135">
        <v>98999.96</v>
      </c>
      <c r="J39" s="135"/>
    </row>
    <row r="40" spans="1:10" x14ac:dyDescent="0.2">
      <c r="A40" s="134" t="s">
        <v>1233</v>
      </c>
      <c r="B40" s="376"/>
      <c r="C40" s="376"/>
      <c r="D40" s="376"/>
      <c r="E40" s="376"/>
      <c r="F40" s="376"/>
      <c r="G40" s="376"/>
      <c r="H40" s="376"/>
      <c r="I40" s="135">
        <v>124233.61</v>
      </c>
      <c r="J40" s="135"/>
    </row>
    <row r="41" spans="1:10" x14ac:dyDescent="0.2">
      <c r="A41" s="134" t="s">
        <v>1238</v>
      </c>
      <c r="B41" s="376"/>
      <c r="C41" s="376"/>
      <c r="D41" s="376"/>
      <c r="E41" s="376"/>
      <c r="F41" s="376"/>
      <c r="G41" s="376"/>
      <c r="H41" s="376"/>
      <c r="I41" s="135">
        <v>50367</v>
      </c>
      <c r="J41" s="135"/>
    </row>
    <row r="42" spans="1:10" x14ac:dyDescent="0.2">
      <c r="A42" s="134" t="s">
        <v>1240</v>
      </c>
      <c r="B42" s="376"/>
      <c r="C42" s="376"/>
      <c r="D42" s="376"/>
      <c r="E42" s="376"/>
      <c r="F42" s="376"/>
      <c r="G42" s="376"/>
      <c r="H42" s="376"/>
      <c r="I42" s="135">
        <v>65290.2</v>
      </c>
      <c r="J42" s="135"/>
    </row>
    <row r="43" spans="1:10" x14ac:dyDescent="0.2">
      <c r="A43" s="134" t="s">
        <v>1242</v>
      </c>
      <c r="B43" s="376"/>
      <c r="C43" s="376"/>
      <c r="D43" s="376"/>
      <c r="E43" s="376"/>
      <c r="F43" s="376"/>
      <c r="G43" s="376"/>
      <c r="H43" s="376"/>
      <c r="I43" s="135">
        <v>65205.3</v>
      </c>
      <c r="J43" s="135"/>
    </row>
    <row r="44" spans="1:10" x14ac:dyDescent="0.2">
      <c r="A44" s="134" t="s">
        <v>1243</v>
      </c>
      <c r="B44" s="134"/>
      <c r="C44" s="134"/>
      <c r="D44" s="134"/>
      <c r="E44" s="134"/>
      <c r="F44" s="134"/>
      <c r="G44" s="134"/>
      <c r="H44" s="134"/>
      <c r="I44" s="135">
        <v>307793.17</v>
      </c>
      <c r="J44" s="135"/>
    </row>
    <row r="45" spans="1:10" x14ac:dyDescent="0.2">
      <c r="A45" s="134" t="s">
        <v>1246</v>
      </c>
      <c r="B45" s="134"/>
      <c r="C45" s="134"/>
      <c r="D45" s="134"/>
      <c r="E45" s="134"/>
      <c r="F45" s="134"/>
      <c r="G45" s="134"/>
      <c r="H45" s="134"/>
      <c r="I45" s="135">
        <v>73459.149999999994</v>
      </c>
      <c r="J45" s="135"/>
    </row>
    <row r="46" spans="1:10" x14ac:dyDescent="0.2">
      <c r="A46" s="134" t="s">
        <v>1249</v>
      </c>
      <c r="B46" s="134"/>
      <c r="C46" s="134"/>
      <c r="D46" s="134"/>
      <c r="E46" s="134"/>
      <c r="F46" s="134"/>
      <c r="G46" s="134"/>
      <c r="H46" s="134"/>
      <c r="I46" s="135">
        <v>128157.08</v>
      </c>
      <c r="J46" s="135"/>
    </row>
    <row r="47" spans="1:10" x14ac:dyDescent="0.2">
      <c r="A47" s="134" t="s">
        <v>1256</v>
      </c>
      <c r="B47" s="134"/>
      <c r="C47" s="134"/>
      <c r="D47" s="134"/>
      <c r="E47" s="134"/>
      <c r="F47" s="134"/>
      <c r="G47" s="134"/>
      <c r="H47" s="134"/>
      <c r="I47" s="135">
        <v>72991.03</v>
      </c>
      <c r="J47" s="135"/>
    </row>
    <row r="48" spans="1:10" x14ac:dyDescent="0.2">
      <c r="A48" s="134" t="s">
        <v>1259</v>
      </c>
      <c r="B48" s="134"/>
      <c r="C48" s="134"/>
      <c r="D48" s="134"/>
      <c r="E48" s="134"/>
      <c r="F48" s="134"/>
      <c r="G48" s="134"/>
      <c r="H48" s="134"/>
      <c r="I48" s="135">
        <v>191437.58</v>
      </c>
      <c r="J48" s="135"/>
    </row>
    <row r="49" spans="1:10" x14ac:dyDescent="0.2">
      <c r="A49" s="134" t="s">
        <v>1265</v>
      </c>
      <c r="B49" s="134"/>
      <c r="C49" s="134"/>
      <c r="D49" s="134"/>
      <c r="E49" s="134"/>
      <c r="F49" s="134"/>
      <c r="G49" s="134"/>
      <c r="H49" s="134"/>
      <c r="I49" s="135">
        <v>183795</v>
      </c>
      <c r="J49" s="135"/>
    </row>
    <row r="50" spans="1:10" x14ac:dyDescent="0.2">
      <c r="A50" s="134" t="s">
        <v>1270</v>
      </c>
      <c r="B50" s="134"/>
      <c r="C50" s="134"/>
      <c r="D50" s="134"/>
      <c r="E50" s="134"/>
      <c r="F50" s="134"/>
      <c r="G50" s="134"/>
      <c r="H50" s="134"/>
      <c r="I50" s="135">
        <v>394617</v>
      </c>
      <c r="J50" s="135"/>
    </row>
    <row r="51" spans="1:10" x14ac:dyDescent="0.2">
      <c r="A51" s="134" t="s">
        <v>1274</v>
      </c>
      <c r="B51" s="134"/>
      <c r="C51" s="134"/>
      <c r="D51" s="134"/>
      <c r="E51" s="134"/>
      <c r="F51" s="134"/>
      <c r="G51" s="134"/>
      <c r="H51" s="134"/>
      <c r="I51" s="135">
        <v>56031.9</v>
      </c>
      <c r="J51" s="135"/>
    </row>
    <row r="52" spans="1:10" x14ac:dyDescent="0.2">
      <c r="A52" s="134" t="s">
        <v>1290</v>
      </c>
      <c r="B52" s="134"/>
      <c r="C52" s="134"/>
      <c r="D52" s="134"/>
      <c r="E52" s="134"/>
      <c r="F52" s="134"/>
      <c r="G52" s="134"/>
      <c r="H52" s="134"/>
      <c r="I52" s="135">
        <v>119790</v>
      </c>
      <c r="J52" s="135"/>
    </row>
    <row r="53" spans="1:10" x14ac:dyDescent="0.2">
      <c r="A53" s="134" t="s">
        <v>1292</v>
      </c>
      <c r="B53" s="134"/>
      <c r="C53" s="134"/>
      <c r="D53" s="134"/>
      <c r="E53" s="134"/>
      <c r="F53" s="134"/>
      <c r="G53" s="134"/>
      <c r="H53" s="134"/>
      <c r="I53" s="135">
        <v>41174.6</v>
      </c>
      <c r="J53" s="135"/>
    </row>
    <row r="54" spans="1:10" x14ac:dyDescent="0.2">
      <c r="A54" s="144" t="s">
        <v>1279</v>
      </c>
      <c r="B54" s="144"/>
      <c r="C54" s="144"/>
      <c r="D54" s="144"/>
      <c r="E54" s="144"/>
      <c r="F54" s="144"/>
      <c r="G54" s="144"/>
      <c r="H54" s="144"/>
      <c r="I54" s="148">
        <v>-133315</v>
      </c>
      <c r="J54" s="148"/>
    </row>
    <row r="55" spans="1:10" x14ac:dyDescent="0.2">
      <c r="A55" s="144" t="s">
        <v>1284</v>
      </c>
      <c r="B55" s="144"/>
      <c r="C55" s="144"/>
      <c r="D55" s="144"/>
      <c r="E55" s="144"/>
      <c r="F55" s="144"/>
      <c r="G55" s="144"/>
      <c r="H55" s="144"/>
      <c r="I55" s="148">
        <v>-200000</v>
      </c>
      <c r="J55" s="148"/>
    </row>
    <row r="56" spans="1:10" x14ac:dyDescent="0.2">
      <c r="A56" s="134" t="s">
        <v>1294</v>
      </c>
      <c r="B56" s="134"/>
      <c r="C56" s="134"/>
      <c r="D56" s="134"/>
      <c r="E56" s="134"/>
      <c r="F56" s="134"/>
      <c r="G56" s="134"/>
      <c r="H56" s="134"/>
      <c r="I56" s="135">
        <v>73593.75</v>
      </c>
      <c r="J56" s="135"/>
    </row>
    <row r="57" spans="1:10" x14ac:dyDescent="0.2">
      <c r="A57" s="134" t="s">
        <v>1299</v>
      </c>
      <c r="B57" s="134"/>
      <c r="C57" s="134"/>
      <c r="D57" s="134"/>
      <c r="E57" s="134"/>
      <c r="F57" s="134"/>
      <c r="G57" s="134"/>
      <c r="H57" s="134"/>
      <c r="I57" s="135">
        <v>424413.9</v>
      </c>
      <c r="J57" s="135"/>
    </row>
    <row r="58" spans="1:10" x14ac:dyDescent="0.2">
      <c r="A58" s="231" t="s">
        <v>1466</v>
      </c>
      <c r="B58" s="231"/>
      <c r="C58" s="231"/>
      <c r="D58" s="231"/>
      <c r="E58" s="231"/>
      <c r="F58" s="231"/>
      <c r="G58" s="231"/>
      <c r="H58" s="231"/>
      <c r="I58" s="254">
        <v>-257202.42</v>
      </c>
      <c r="J58" s="254"/>
    </row>
    <row r="59" spans="1:10" x14ac:dyDescent="0.2">
      <c r="A59" s="134" t="s">
        <v>1300</v>
      </c>
      <c r="B59" s="134"/>
      <c r="C59" s="134"/>
      <c r="D59" s="134"/>
      <c r="E59" s="134"/>
      <c r="F59" s="134"/>
      <c r="G59" s="134"/>
      <c r="H59" s="134"/>
      <c r="I59" s="135">
        <v>115011.67</v>
      </c>
      <c r="J59" s="135"/>
    </row>
    <row r="60" spans="1:10" x14ac:dyDescent="0.2">
      <c r="A60" s="231" t="s">
        <v>1303</v>
      </c>
      <c r="B60" s="134"/>
      <c r="C60" s="134"/>
      <c r="D60" s="134"/>
      <c r="E60" s="134"/>
      <c r="F60" s="134"/>
      <c r="G60" s="134"/>
      <c r="H60" s="134"/>
      <c r="I60" s="254">
        <v>-7732.47</v>
      </c>
      <c r="J60" s="254"/>
    </row>
    <row r="61" spans="1:10" x14ac:dyDescent="0.2">
      <c r="A61" s="187" t="s">
        <v>1309</v>
      </c>
      <c r="B61" s="188"/>
      <c r="C61" s="188"/>
      <c r="D61" s="188"/>
      <c r="E61" s="188"/>
      <c r="F61" s="188"/>
      <c r="G61" s="188"/>
      <c r="H61" s="189"/>
      <c r="I61" s="135">
        <v>322515</v>
      </c>
      <c r="J61" s="135"/>
    </row>
    <row r="62" spans="1:10" x14ac:dyDescent="0.2">
      <c r="A62" s="141" t="s">
        <v>1314</v>
      </c>
      <c r="B62" s="357"/>
      <c r="C62" s="357"/>
      <c r="D62" s="357"/>
      <c r="E62" s="357"/>
      <c r="F62" s="357"/>
      <c r="G62" s="357"/>
      <c r="H62" s="318"/>
      <c r="I62" s="254">
        <v>-143610</v>
      </c>
      <c r="J62" s="254"/>
    </row>
    <row r="63" spans="1:10" x14ac:dyDescent="0.2">
      <c r="A63" s="187" t="s">
        <v>1318</v>
      </c>
      <c r="B63" s="188"/>
      <c r="C63" s="188"/>
      <c r="D63" s="188"/>
      <c r="E63" s="188"/>
      <c r="F63" s="188"/>
      <c r="G63" s="188"/>
      <c r="H63" s="189"/>
      <c r="I63" s="135">
        <v>49279.58</v>
      </c>
      <c r="J63" s="135"/>
    </row>
    <row r="64" spans="1:10" x14ac:dyDescent="0.2">
      <c r="A64" s="231" t="s">
        <v>1320</v>
      </c>
      <c r="B64" s="231"/>
      <c r="C64" s="231"/>
      <c r="D64" s="231"/>
      <c r="E64" s="231"/>
      <c r="F64" s="231"/>
      <c r="G64" s="231"/>
      <c r="H64" s="231"/>
      <c r="I64" s="254">
        <v>133315</v>
      </c>
      <c r="J64" s="254"/>
    </row>
    <row r="65" spans="1:10" x14ac:dyDescent="0.2">
      <c r="A65" s="134" t="s">
        <v>1325</v>
      </c>
      <c r="B65" s="134"/>
      <c r="C65" s="134"/>
      <c r="D65" s="134"/>
      <c r="E65" s="134"/>
      <c r="F65" s="134"/>
      <c r="G65" s="134"/>
      <c r="H65" s="134"/>
      <c r="I65" s="135">
        <v>96536.72</v>
      </c>
      <c r="J65" s="135"/>
    </row>
    <row r="66" spans="1:10" x14ac:dyDescent="0.2">
      <c r="A66" s="134" t="s">
        <v>1327</v>
      </c>
      <c r="B66" s="134"/>
      <c r="C66" s="134"/>
      <c r="D66" s="134"/>
      <c r="E66" s="134"/>
      <c r="F66" s="134"/>
      <c r="G66" s="134"/>
      <c r="H66" s="134"/>
      <c r="I66" s="135">
        <v>41578.35</v>
      </c>
      <c r="J66" s="135"/>
    </row>
    <row r="67" spans="1:10" x14ac:dyDescent="0.2">
      <c r="A67" s="134" t="s">
        <v>1329</v>
      </c>
      <c r="B67" s="134"/>
      <c r="C67" s="134"/>
      <c r="D67" s="134"/>
      <c r="E67" s="134"/>
      <c r="F67" s="134"/>
      <c r="G67" s="134"/>
      <c r="H67" s="134"/>
      <c r="I67" s="135">
        <v>83542.320000000007</v>
      </c>
      <c r="J67" s="135"/>
    </row>
    <row r="68" spans="1:10" x14ac:dyDescent="0.2">
      <c r="A68" s="134" t="s">
        <v>1331</v>
      </c>
      <c r="B68" s="134"/>
      <c r="C68" s="134"/>
      <c r="D68" s="134"/>
      <c r="E68" s="134"/>
      <c r="F68" s="134"/>
      <c r="G68" s="134"/>
      <c r="H68" s="134"/>
      <c r="I68" s="135">
        <v>162855</v>
      </c>
      <c r="J68" s="135"/>
    </row>
    <row r="69" spans="1:10" x14ac:dyDescent="0.2">
      <c r="A69" s="134" t="s">
        <v>1333</v>
      </c>
      <c r="B69" s="134"/>
      <c r="C69" s="134"/>
      <c r="D69" s="134"/>
      <c r="E69" s="134"/>
      <c r="F69" s="134"/>
      <c r="G69" s="134"/>
      <c r="H69" s="134"/>
      <c r="I69" s="135">
        <v>74421.33</v>
      </c>
      <c r="J69" s="135"/>
    </row>
    <row r="70" spans="1:10" x14ac:dyDescent="0.2">
      <c r="A70" s="134" t="s">
        <v>1336</v>
      </c>
      <c r="B70" s="134"/>
      <c r="C70" s="134"/>
      <c r="D70" s="134"/>
      <c r="E70" s="134"/>
      <c r="F70" s="134"/>
      <c r="G70" s="134"/>
      <c r="H70" s="134"/>
      <c r="I70" s="135">
        <v>136781.63</v>
      </c>
      <c r="J70" s="135"/>
    </row>
    <row r="71" spans="1:10" x14ac:dyDescent="0.2">
      <c r="A71" s="134" t="s">
        <v>1338</v>
      </c>
      <c r="B71" s="134"/>
      <c r="C71" s="134"/>
      <c r="D71" s="134"/>
      <c r="E71" s="134"/>
      <c r="F71" s="134"/>
      <c r="G71" s="134"/>
      <c r="H71" s="134"/>
      <c r="I71" s="135">
        <v>45920.33</v>
      </c>
      <c r="J71" s="135"/>
    </row>
    <row r="72" spans="1:10" x14ac:dyDescent="0.2">
      <c r="A72" s="134" t="s">
        <v>1340</v>
      </c>
      <c r="B72" s="134"/>
      <c r="C72" s="134"/>
      <c r="D72" s="134"/>
      <c r="E72" s="134"/>
      <c r="F72" s="134"/>
      <c r="G72" s="134"/>
      <c r="H72" s="134"/>
      <c r="I72" s="135">
        <v>77147.34</v>
      </c>
      <c r="J72" s="135"/>
    </row>
    <row r="73" spans="1:10" x14ac:dyDescent="0.2">
      <c r="A73" s="134" t="s">
        <v>1352</v>
      </c>
      <c r="B73" s="134"/>
      <c r="C73" s="134"/>
      <c r="D73" s="134"/>
      <c r="E73" s="134"/>
      <c r="F73" s="134"/>
      <c r="G73" s="134"/>
      <c r="H73" s="134"/>
      <c r="I73" s="135">
        <v>128271.9</v>
      </c>
      <c r="J73" s="135"/>
    </row>
    <row r="74" spans="1:10" x14ac:dyDescent="0.2">
      <c r="A74" s="231" t="s">
        <v>1354</v>
      </c>
      <c r="B74" s="231"/>
      <c r="C74" s="231"/>
      <c r="D74" s="231"/>
      <c r="E74" s="231"/>
      <c r="F74" s="231"/>
      <c r="G74" s="231"/>
      <c r="H74" s="231"/>
      <c r="I74" s="254">
        <v>-274.58</v>
      </c>
      <c r="J74" s="254"/>
    </row>
    <row r="75" spans="1:10" x14ac:dyDescent="0.2">
      <c r="A75" s="134" t="s">
        <v>1364</v>
      </c>
      <c r="B75" s="134"/>
      <c r="C75" s="134"/>
      <c r="D75" s="134"/>
      <c r="E75" s="134"/>
      <c r="F75" s="134"/>
      <c r="G75" s="134"/>
      <c r="H75" s="134"/>
      <c r="I75" s="135">
        <v>59049.01</v>
      </c>
      <c r="J75" s="135"/>
    </row>
    <row r="76" spans="1:10" x14ac:dyDescent="0.2">
      <c r="A76" s="134" t="s">
        <v>1593</v>
      </c>
      <c r="B76" s="134"/>
      <c r="C76" s="134"/>
      <c r="D76" s="134"/>
      <c r="E76" s="134"/>
      <c r="F76" s="134"/>
      <c r="G76" s="134"/>
      <c r="H76" s="134"/>
      <c r="I76" s="135">
        <v>111218.7</v>
      </c>
      <c r="J76" s="135"/>
    </row>
    <row r="77" spans="1:10" x14ac:dyDescent="0.2">
      <c r="A77" s="231" t="s">
        <v>1367</v>
      </c>
      <c r="B77" s="231"/>
      <c r="C77" s="231"/>
      <c r="D77" s="231"/>
      <c r="E77" s="231"/>
      <c r="F77" s="231"/>
      <c r="G77" s="231"/>
      <c r="H77" s="231"/>
      <c r="I77" s="254">
        <v>-8774.83</v>
      </c>
      <c r="J77" s="254"/>
    </row>
    <row r="78" spans="1:10" x14ac:dyDescent="0.2">
      <c r="A78" s="134" t="s">
        <v>1373</v>
      </c>
      <c r="B78" s="134"/>
      <c r="C78" s="134"/>
      <c r="D78" s="134"/>
      <c r="E78" s="134"/>
      <c r="F78" s="134"/>
      <c r="G78" s="134"/>
      <c r="H78" s="134"/>
      <c r="I78" s="135">
        <v>236363.64</v>
      </c>
      <c r="J78" s="135"/>
    </row>
    <row r="79" spans="1:10" x14ac:dyDescent="0.2">
      <c r="A79" s="134" t="s">
        <v>1377</v>
      </c>
      <c r="B79" s="134"/>
      <c r="C79" s="134"/>
      <c r="D79" s="134"/>
      <c r="E79" s="134"/>
      <c r="F79" s="134"/>
      <c r="G79" s="134"/>
      <c r="H79" s="134"/>
      <c r="I79" s="135">
        <v>319695.75</v>
      </c>
      <c r="J79" s="135"/>
    </row>
    <row r="80" spans="1:10" x14ac:dyDescent="0.2">
      <c r="A80" s="134" t="s">
        <v>1387</v>
      </c>
      <c r="B80" s="134"/>
      <c r="C80" s="134"/>
      <c r="D80" s="134"/>
      <c r="E80" s="134"/>
      <c r="F80" s="134"/>
      <c r="G80" s="134"/>
      <c r="H80" s="134"/>
      <c r="I80" s="135">
        <v>756507.08</v>
      </c>
      <c r="J80" s="135"/>
    </row>
    <row r="81" spans="1:10" x14ac:dyDescent="0.2">
      <c r="A81" s="231" t="s">
        <v>1390</v>
      </c>
      <c r="B81" s="231"/>
      <c r="C81" s="231"/>
      <c r="D81" s="231"/>
      <c r="E81" s="231"/>
      <c r="F81" s="231"/>
      <c r="G81" s="231"/>
      <c r="H81" s="231"/>
      <c r="I81" s="254">
        <v>-22223.48</v>
      </c>
      <c r="J81" s="254"/>
    </row>
    <row r="82" spans="1:10" x14ac:dyDescent="0.2">
      <c r="A82" s="134" t="s">
        <v>1395</v>
      </c>
      <c r="B82" s="134"/>
      <c r="C82" s="134"/>
      <c r="D82" s="134"/>
      <c r="E82" s="134"/>
      <c r="F82" s="134"/>
      <c r="G82" s="134"/>
      <c r="H82" s="134"/>
      <c r="I82" s="135">
        <v>118026.45</v>
      </c>
      <c r="J82" s="135"/>
    </row>
    <row r="83" spans="1:10" x14ac:dyDescent="0.2">
      <c r="A83" s="134" t="s">
        <v>1398</v>
      </c>
      <c r="B83" s="134"/>
      <c r="C83" s="134"/>
      <c r="D83" s="134"/>
      <c r="E83" s="134"/>
      <c r="F83" s="134"/>
      <c r="G83" s="134"/>
      <c r="H83" s="134"/>
      <c r="I83" s="135">
        <v>39612.870000000003</v>
      </c>
      <c r="J83" s="135"/>
    </row>
    <row r="84" spans="1:10" x14ac:dyDescent="0.2">
      <c r="A84" s="134" t="s">
        <v>1400</v>
      </c>
      <c r="B84" s="134"/>
      <c r="C84" s="134"/>
      <c r="D84" s="134"/>
      <c r="E84" s="134"/>
      <c r="F84" s="134"/>
      <c r="G84" s="134"/>
      <c r="H84" s="134"/>
      <c r="I84" s="135">
        <v>75972.02</v>
      </c>
      <c r="J84" s="135"/>
    </row>
    <row r="85" spans="1:10" x14ac:dyDescent="0.2">
      <c r="A85" s="134" t="s">
        <v>1402</v>
      </c>
      <c r="B85" s="134"/>
      <c r="C85" s="134"/>
      <c r="D85" s="134"/>
      <c r="E85" s="134"/>
      <c r="F85" s="134"/>
      <c r="G85" s="134"/>
      <c r="H85" s="134"/>
      <c r="I85" s="135">
        <v>306715.5</v>
      </c>
      <c r="J85" s="135"/>
    </row>
    <row r="86" spans="1:10" x14ac:dyDescent="0.2">
      <c r="A86" s="134" t="s">
        <v>1405</v>
      </c>
      <c r="B86" s="134"/>
      <c r="C86" s="134"/>
      <c r="D86" s="134"/>
      <c r="E86" s="134"/>
      <c r="F86" s="134"/>
      <c r="G86" s="134"/>
      <c r="H86" s="134"/>
      <c r="I86" s="135">
        <v>40191</v>
      </c>
      <c r="J86" s="135"/>
    </row>
    <row r="87" spans="1:10" x14ac:dyDescent="0.2">
      <c r="A87" s="134" t="s">
        <v>1407</v>
      </c>
      <c r="B87" s="134"/>
      <c r="C87" s="134"/>
      <c r="D87" s="134"/>
      <c r="E87" s="134"/>
      <c r="F87" s="134"/>
      <c r="G87" s="134"/>
      <c r="H87" s="134"/>
      <c r="I87" s="135">
        <v>73678.7</v>
      </c>
      <c r="J87" s="135"/>
    </row>
    <row r="88" spans="1:10" x14ac:dyDescent="0.2">
      <c r="A88" s="134" t="s">
        <v>1409</v>
      </c>
      <c r="B88" s="134"/>
      <c r="C88" s="134"/>
      <c r="D88" s="134"/>
      <c r="E88" s="134"/>
      <c r="F88" s="134"/>
      <c r="G88" s="134"/>
      <c r="H88" s="134"/>
      <c r="I88" s="135">
        <v>83615.78</v>
      </c>
      <c r="J88" s="135"/>
    </row>
    <row r="89" spans="1:10" x14ac:dyDescent="0.2">
      <c r="A89" s="231" t="s">
        <v>1426</v>
      </c>
      <c r="B89" s="231"/>
      <c r="C89" s="231"/>
      <c r="D89" s="231"/>
      <c r="E89" s="231"/>
      <c r="F89" s="231"/>
      <c r="G89" s="231"/>
      <c r="H89" s="231"/>
      <c r="I89" s="254">
        <v>143610</v>
      </c>
      <c r="J89" s="254"/>
    </row>
    <row r="90" spans="1:10" x14ac:dyDescent="0.2">
      <c r="A90" s="134" t="s">
        <v>1428</v>
      </c>
      <c r="B90" s="134"/>
      <c r="C90" s="134"/>
      <c r="D90" s="134"/>
      <c r="E90" s="134"/>
      <c r="F90" s="134"/>
      <c r="G90" s="134"/>
      <c r="H90" s="134"/>
      <c r="I90" s="135">
        <v>137801.57</v>
      </c>
      <c r="J90" s="135"/>
    </row>
    <row r="91" spans="1:10" x14ac:dyDescent="0.2">
      <c r="A91" s="134" t="s">
        <v>1431</v>
      </c>
      <c r="B91" s="134"/>
      <c r="C91" s="134"/>
      <c r="D91" s="134"/>
      <c r="E91" s="134"/>
      <c r="F91" s="134"/>
      <c r="G91" s="134"/>
      <c r="H91" s="134"/>
      <c r="I91" s="135">
        <v>206828.6</v>
      </c>
      <c r="J91" s="135"/>
    </row>
    <row r="92" spans="1:10" x14ac:dyDescent="0.2">
      <c r="A92" s="231" t="s">
        <v>1432</v>
      </c>
      <c r="B92" s="231"/>
      <c r="C92" s="231"/>
      <c r="D92" s="231"/>
      <c r="E92" s="231"/>
      <c r="F92" s="231"/>
      <c r="G92" s="231"/>
      <c r="H92" s="231"/>
      <c r="I92" s="254">
        <v>-185390.2</v>
      </c>
      <c r="J92" s="254"/>
    </row>
    <row r="93" spans="1:10" x14ac:dyDescent="0.2">
      <c r="A93" s="134" t="s">
        <v>1442</v>
      </c>
      <c r="B93" s="134"/>
      <c r="C93" s="134"/>
      <c r="D93" s="134"/>
      <c r="E93" s="134"/>
      <c r="F93" s="134"/>
      <c r="G93" s="134"/>
      <c r="H93" s="134"/>
      <c r="I93" s="135">
        <v>94595.47</v>
      </c>
      <c r="J93" s="135"/>
    </row>
    <row r="94" spans="1:10" x14ac:dyDescent="0.2">
      <c r="A94" s="134" t="s">
        <v>1448</v>
      </c>
      <c r="B94" s="134"/>
      <c r="C94" s="134"/>
      <c r="D94" s="134"/>
      <c r="E94" s="134"/>
      <c r="F94" s="134"/>
      <c r="G94" s="134"/>
      <c r="H94" s="134"/>
      <c r="I94" s="135">
        <v>101238</v>
      </c>
      <c r="J94" s="135"/>
    </row>
    <row r="95" spans="1:10" x14ac:dyDescent="0.2">
      <c r="A95" s="134" t="s">
        <v>1460</v>
      </c>
      <c r="B95" s="134"/>
      <c r="C95" s="134"/>
      <c r="D95" s="134"/>
      <c r="E95" s="134"/>
      <c r="F95" s="134"/>
      <c r="G95" s="134"/>
      <c r="H95" s="134"/>
      <c r="I95" s="135">
        <v>103941</v>
      </c>
      <c r="J95" s="135"/>
    </row>
    <row r="96" spans="1:10" x14ac:dyDescent="0.2">
      <c r="A96" s="231" t="s">
        <v>1468</v>
      </c>
      <c r="B96" s="231"/>
      <c r="C96" s="231"/>
      <c r="D96" s="231"/>
      <c r="E96" s="231"/>
      <c r="F96" s="231"/>
      <c r="G96" s="231"/>
      <c r="H96" s="231"/>
      <c r="I96" s="254">
        <v>-111461.81</v>
      </c>
      <c r="J96" s="254"/>
    </row>
    <row r="97" spans="1:10" x14ac:dyDescent="0.2">
      <c r="A97" s="134" t="s">
        <v>1471</v>
      </c>
      <c r="B97" s="134"/>
      <c r="C97" s="134"/>
      <c r="D97" s="134"/>
      <c r="E97" s="134"/>
      <c r="F97" s="134"/>
      <c r="G97" s="134"/>
      <c r="H97" s="134"/>
      <c r="I97" s="135">
        <v>110942.78</v>
      </c>
      <c r="J97" s="135"/>
    </row>
    <row r="98" spans="1:10" x14ac:dyDescent="0.2">
      <c r="A98" s="378" t="s">
        <v>1472</v>
      </c>
      <c r="B98" s="378"/>
      <c r="C98" s="378"/>
      <c r="D98" s="378"/>
      <c r="E98" s="378"/>
      <c r="F98" s="378"/>
      <c r="G98" s="378"/>
      <c r="H98" s="378"/>
      <c r="I98" s="380">
        <v>-440776.54</v>
      </c>
      <c r="J98" s="380"/>
    </row>
    <row r="99" spans="1:10" x14ac:dyDescent="0.2">
      <c r="A99" s="231" t="s">
        <v>1483</v>
      </c>
      <c r="B99" s="231"/>
      <c r="C99" s="231"/>
      <c r="D99" s="231"/>
      <c r="E99" s="231"/>
      <c r="F99" s="231"/>
      <c r="G99" s="231"/>
      <c r="H99" s="231"/>
      <c r="I99" s="254">
        <v>-36333</v>
      </c>
      <c r="J99" s="254"/>
    </row>
    <row r="100" spans="1:10" x14ac:dyDescent="0.2">
      <c r="A100" s="134" t="s">
        <v>1494</v>
      </c>
      <c r="B100" s="134"/>
      <c r="C100" s="134"/>
      <c r="D100" s="134"/>
      <c r="E100" s="134"/>
      <c r="F100" s="134"/>
      <c r="G100" s="134"/>
      <c r="H100" s="134"/>
      <c r="I100" s="135">
        <v>36255.980000000003</v>
      </c>
      <c r="J100" s="135"/>
    </row>
    <row r="101" spans="1:10" x14ac:dyDescent="0.2">
      <c r="A101" s="134" t="s">
        <v>1497</v>
      </c>
      <c r="B101" s="134"/>
      <c r="C101" s="134"/>
      <c r="D101" s="134"/>
      <c r="E101" s="134"/>
      <c r="F101" s="134"/>
      <c r="G101" s="134"/>
      <c r="H101" s="134"/>
      <c r="I101" s="135">
        <v>343834.7</v>
      </c>
      <c r="J101" s="135"/>
    </row>
    <row r="102" spans="1:10" x14ac:dyDescent="0.2">
      <c r="A102" s="144" t="s">
        <v>1507</v>
      </c>
      <c r="B102" s="144"/>
      <c r="C102" s="144"/>
      <c r="D102" s="144"/>
      <c r="E102" s="144"/>
      <c r="F102" s="144"/>
      <c r="G102" s="144"/>
      <c r="H102" s="144"/>
      <c r="I102" s="148">
        <v>36333</v>
      </c>
      <c r="J102" s="148"/>
    </row>
    <row r="103" spans="1:10" x14ac:dyDescent="0.2">
      <c r="A103" s="134" t="s">
        <v>1511</v>
      </c>
      <c r="B103" s="134"/>
      <c r="C103" s="134"/>
      <c r="D103" s="134"/>
      <c r="E103" s="134"/>
      <c r="F103" s="134"/>
      <c r="G103" s="134"/>
      <c r="H103" s="134"/>
      <c r="I103" s="135">
        <v>127083.99</v>
      </c>
      <c r="J103" s="135"/>
    </row>
    <row r="104" spans="1:10" x14ac:dyDescent="0.2">
      <c r="A104" s="134" t="s">
        <v>1513</v>
      </c>
      <c r="B104" s="134"/>
      <c r="C104" s="134"/>
      <c r="D104" s="134"/>
      <c r="E104" s="134"/>
      <c r="F104" s="134"/>
      <c r="G104" s="134"/>
      <c r="H104" s="134"/>
      <c r="I104" s="135">
        <v>121595.5</v>
      </c>
      <c r="J104" s="135"/>
    </row>
    <row r="105" spans="1:10" x14ac:dyDescent="0.2">
      <c r="A105" s="134" t="s">
        <v>1514</v>
      </c>
      <c r="B105" s="134"/>
      <c r="C105" s="134"/>
      <c r="D105" s="134"/>
      <c r="E105" s="134"/>
      <c r="F105" s="134"/>
      <c r="G105" s="134"/>
      <c r="H105" s="134"/>
      <c r="I105" s="135">
        <v>253588.52</v>
      </c>
      <c r="J105" s="135"/>
    </row>
    <row r="106" spans="1:10" x14ac:dyDescent="0.2">
      <c r="A106" s="134" t="s">
        <v>1517</v>
      </c>
      <c r="B106" s="134"/>
      <c r="C106" s="134"/>
      <c r="D106" s="134"/>
      <c r="E106" s="134"/>
      <c r="F106" s="134"/>
      <c r="G106" s="134"/>
      <c r="H106" s="134"/>
      <c r="I106" s="135">
        <v>156611.43</v>
      </c>
      <c r="J106" s="135"/>
    </row>
    <row r="107" spans="1:10" x14ac:dyDescent="0.2">
      <c r="A107" s="134" t="s">
        <v>1519</v>
      </c>
      <c r="B107" s="134"/>
      <c r="C107" s="134"/>
      <c r="D107" s="134"/>
      <c r="E107" s="134"/>
      <c r="F107" s="134"/>
      <c r="G107" s="134"/>
      <c r="H107" s="134"/>
      <c r="I107" s="135">
        <v>199752.88</v>
      </c>
      <c r="J107" s="135"/>
    </row>
    <row r="108" spans="1:10" x14ac:dyDescent="0.2">
      <c r="A108" s="134" t="s">
        <v>1523</v>
      </c>
      <c r="B108" s="134"/>
      <c r="C108" s="134"/>
      <c r="D108" s="134"/>
      <c r="E108" s="134"/>
      <c r="F108" s="134"/>
      <c r="G108" s="134"/>
      <c r="H108" s="134"/>
      <c r="I108" s="135">
        <v>160454.85</v>
      </c>
      <c r="J108" s="135"/>
    </row>
    <row r="109" spans="1:10" x14ac:dyDescent="0.2">
      <c r="A109" s="134" t="s">
        <v>1525</v>
      </c>
      <c r="B109" s="134"/>
      <c r="C109" s="134"/>
      <c r="D109" s="134"/>
      <c r="E109" s="134"/>
      <c r="F109" s="134"/>
      <c r="G109" s="134"/>
      <c r="H109" s="134"/>
      <c r="I109" s="135">
        <v>71400</v>
      </c>
      <c r="J109" s="135"/>
    </row>
    <row r="110" spans="1:10" x14ac:dyDescent="0.2">
      <c r="A110" s="134" t="s">
        <v>1531</v>
      </c>
      <c r="B110" s="134"/>
      <c r="C110" s="134"/>
      <c r="D110" s="134"/>
      <c r="E110" s="134"/>
      <c r="F110" s="134"/>
      <c r="G110" s="134"/>
      <c r="H110" s="134"/>
      <c r="I110" s="135">
        <v>628843.97</v>
      </c>
      <c r="J110" s="135"/>
    </row>
    <row r="111" spans="1:10" x14ac:dyDescent="0.2">
      <c r="A111" s="134" t="s">
        <v>1561</v>
      </c>
      <c r="B111" s="134"/>
      <c r="C111" s="134"/>
      <c r="D111" s="134"/>
      <c r="E111" s="134"/>
      <c r="F111" s="134"/>
      <c r="G111" s="134"/>
      <c r="H111" s="134"/>
      <c r="I111" s="135">
        <v>166872.23000000001</v>
      </c>
      <c r="J111" s="135"/>
    </row>
    <row r="112" spans="1:10" x14ac:dyDescent="0.2">
      <c r="A112" s="134" t="s">
        <v>1567</v>
      </c>
      <c r="B112" s="134"/>
      <c r="C112" s="134"/>
      <c r="D112" s="134"/>
      <c r="E112" s="134"/>
      <c r="F112" s="134"/>
      <c r="G112" s="134"/>
      <c r="H112" s="134"/>
      <c r="I112" s="135">
        <v>80438.94</v>
      </c>
      <c r="J112" s="135"/>
    </row>
    <row r="113" spans="1:11" x14ac:dyDescent="0.2">
      <c r="A113" s="134" t="s">
        <v>1572</v>
      </c>
      <c r="B113" s="134"/>
      <c r="C113" s="134"/>
      <c r="D113" s="134"/>
      <c r="E113" s="134"/>
      <c r="F113" s="134"/>
      <c r="G113" s="134"/>
      <c r="H113" s="134"/>
      <c r="I113" s="135">
        <v>153413.65</v>
      </c>
      <c r="J113" s="135"/>
    </row>
    <row r="114" spans="1:11" x14ac:dyDescent="0.2">
      <c r="A114" s="144" t="s">
        <v>1582</v>
      </c>
      <c r="B114" s="144"/>
      <c r="C114" s="144"/>
      <c r="D114" s="144"/>
      <c r="E114" s="144"/>
      <c r="F114" s="144"/>
      <c r="G114" s="144"/>
      <c r="H114" s="144"/>
      <c r="I114" s="148">
        <v>200000</v>
      </c>
      <c r="J114" s="148"/>
    </row>
    <row r="115" spans="1:11" x14ac:dyDescent="0.2">
      <c r="A115" s="134" t="s">
        <v>1584</v>
      </c>
      <c r="B115" s="134"/>
      <c r="C115" s="134"/>
      <c r="D115" s="134"/>
      <c r="E115" s="134"/>
      <c r="F115" s="134"/>
      <c r="G115" s="134"/>
      <c r="H115" s="134"/>
      <c r="I115" s="135">
        <v>129958.08</v>
      </c>
      <c r="J115" s="135"/>
    </row>
    <row r="116" spans="1:11" x14ac:dyDescent="0.2">
      <c r="A116" s="134" t="s">
        <v>1597</v>
      </c>
      <c r="B116" s="134"/>
      <c r="C116" s="134"/>
      <c r="D116" s="134"/>
      <c r="E116" s="134"/>
      <c r="F116" s="134"/>
      <c r="G116" s="134"/>
      <c r="H116" s="134"/>
      <c r="I116" s="135">
        <v>133725</v>
      </c>
      <c r="J116" s="135"/>
    </row>
    <row r="117" spans="1:11" x14ac:dyDescent="0.2">
      <c r="A117" s="134" t="s">
        <v>1608</v>
      </c>
      <c r="B117" s="134"/>
      <c r="C117" s="134"/>
      <c r="D117" s="134"/>
      <c r="E117" s="134"/>
      <c r="F117" s="134"/>
      <c r="G117" s="134"/>
      <c r="H117" s="134"/>
      <c r="I117" s="135">
        <v>276301.59999999998</v>
      </c>
      <c r="J117" s="135"/>
    </row>
    <row r="118" spans="1:11" x14ac:dyDescent="0.2">
      <c r="A118" s="134" t="s">
        <v>1612</v>
      </c>
      <c r="B118" s="134"/>
      <c r="C118" s="134"/>
      <c r="D118" s="134"/>
      <c r="E118" s="134"/>
      <c r="F118" s="134"/>
      <c r="G118" s="134"/>
      <c r="H118" s="134"/>
      <c r="I118" s="135">
        <v>157395.75</v>
      </c>
      <c r="J118" s="135"/>
    </row>
    <row r="119" spans="1:11" x14ac:dyDescent="0.2">
      <c r="A119" s="378" t="s">
        <v>1619</v>
      </c>
      <c r="B119" s="378"/>
      <c r="C119" s="378"/>
      <c r="D119" s="378"/>
      <c r="E119" s="378"/>
      <c r="F119" s="378"/>
      <c r="G119" s="378"/>
      <c r="H119" s="378"/>
      <c r="I119" s="380">
        <v>-50000</v>
      </c>
      <c r="J119" s="380"/>
    </row>
    <row r="120" spans="1:11" x14ac:dyDescent="0.2">
      <c r="A120" s="144" t="s">
        <v>1622</v>
      </c>
      <c r="B120" s="144"/>
      <c r="C120" s="144"/>
      <c r="D120" s="144"/>
      <c r="E120" s="144"/>
      <c r="F120" s="144"/>
      <c r="G120" s="144"/>
      <c r="H120" s="144"/>
      <c r="I120" s="148">
        <v>-26674.07</v>
      </c>
      <c r="J120" s="148"/>
    </row>
    <row r="121" spans="1:11" x14ac:dyDescent="0.2">
      <c r="A121" s="134" t="s">
        <v>1626</v>
      </c>
      <c r="B121" s="134"/>
      <c r="C121" s="134"/>
      <c r="D121" s="134"/>
      <c r="E121" s="134"/>
      <c r="F121" s="134"/>
      <c r="G121" s="134"/>
      <c r="H121" s="134"/>
      <c r="I121" s="135">
        <v>102059.52</v>
      </c>
      <c r="J121" s="135"/>
    </row>
    <row r="122" spans="1:11" x14ac:dyDescent="0.2">
      <c r="A122" s="134" t="s">
        <v>1627</v>
      </c>
      <c r="B122" s="134"/>
      <c r="C122" s="134"/>
      <c r="D122" s="134"/>
      <c r="E122" s="134"/>
      <c r="F122" s="134"/>
      <c r="G122" s="134"/>
      <c r="H122" s="134"/>
      <c r="I122" s="135">
        <v>63900</v>
      </c>
      <c r="J122" s="135"/>
    </row>
    <row r="123" spans="1:11" x14ac:dyDescent="0.2">
      <c r="A123" s="355" t="s">
        <v>1628</v>
      </c>
      <c r="B123" s="355"/>
      <c r="C123" s="355"/>
      <c r="D123" s="355"/>
      <c r="E123" s="355"/>
      <c r="F123" s="355"/>
      <c r="G123" s="355"/>
      <c r="H123" s="355"/>
      <c r="I123" s="383">
        <v>277575.15000000002</v>
      </c>
      <c r="J123" s="383"/>
    </row>
    <row r="124" spans="1:11" x14ac:dyDescent="0.2">
      <c r="A124" s="355" t="s">
        <v>1630</v>
      </c>
      <c r="B124" s="355"/>
      <c r="C124" s="355"/>
      <c r="D124" s="355"/>
      <c r="E124" s="355"/>
      <c r="F124" s="355"/>
      <c r="G124" s="355"/>
      <c r="H124" s="355"/>
      <c r="I124" s="381">
        <v>214747.5</v>
      </c>
      <c r="J124" s="382"/>
      <c r="K124" s="8" t="s">
        <v>1631</v>
      </c>
    </row>
    <row r="125" spans="1:11" x14ac:dyDescent="0.2">
      <c r="A125" s="116"/>
      <c r="B125" s="117"/>
      <c r="C125" s="117"/>
      <c r="D125" s="117"/>
      <c r="E125" s="117"/>
      <c r="F125" s="117"/>
      <c r="G125" s="117"/>
      <c r="H125" s="118"/>
      <c r="I125" s="119"/>
      <c r="J125" s="120"/>
    </row>
    <row r="126" spans="1:11" x14ac:dyDescent="0.2">
      <c r="A126" s="185" t="s">
        <v>1553</v>
      </c>
      <c r="B126" s="142"/>
      <c r="C126" s="142"/>
      <c r="D126" s="142"/>
      <c r="E126" s="142"/>
      <c r="F126" s="142"/>
      <c r="G126" s="142"/>
      <c r="H126" s="143"/>
      <c r="I126" s="148">
        <v>11086.7</v>
      </c>
      <c r="J126" s="148"/>
    </row>
    <row r="127" spans="1:11" x14ac:dyDescent="0.2">
      <c r="A127" s="144" t="s">
        <v>1551</v>
      </c>
      <c r="B127" s="144"/>
      <c r="C127" s="144"/>
      <c r="D127" s="144"/>
      <c r="E127" s="144"/>
      <c r="F127" s="144"/>
      <c r="G127" s="144"/>
      <c r="H127" s="144"/>
      <c r="I127" s="325">
        <v>3683.88</v>
      </c>
      <c r="J127" s="326"/>
    </row>
    <row r="128" spans="1:11" x14ac:dyDescent="0.2">
      <c r="A128" s="144" t="s">
        <v>1550</v>
      </c>
      <c r="B128" s="144"/>
      <c r="C128" s="144"/>
      <c r="D128" s="144"/>
      <c r="E128" s="144"/>
      <c r="F128" s="144"/>
      <c r="G128" s="144"/>
      <c r="H128" s="144"/>
      <c r="I128" s="148">
        <v>12081.1</v>
      </c>
      <c r="J128" s="148"/>
    </row>
    <row r="129" spans="1:10" x14ac:dyDescent="0.2">
      <c r="A129" s="144" t="s">
        <v>1549</v>
      </c>
      <c r="B129" s="144"/>
      <c r="C129" s="144"/>
      <c r="D129" s="144"/>
      <c r="E129" s="144"/>
      <c r="F129" s="144"/>
      <c r="G129" s="144"/>
      <c r="H129" s="144"/>
      <c r="I129" s="148">
        <v>-148155.6</v>
      </c>
      <c r="J129" s="148"/>
    </row>
    <row r="130" spans="1:10" x14ac:dyDescent="0.2">
      <c r="A130" s="144" t="s">
        <v>1552</v>
      </c>
      <c r="B130" s="144"/>
      <c r="C130" s="144"/>
      <c r="D130" s="144"/>
      <c r="E130" s="144"/>
      <c r="F130" s="144"/>
      <c r="G130" s="144"/>
      <c r="H130" s="144"/>
      <c r="I130" s="148">
        <v>-227.12</v>
      </c>
      <c r="J130" s="148"/>
    </row>
    <row r="131" spans="1:10" ht="13.5" thickBot="1" x14ac:dyDescent="0.25">
      <c r="A131" s="144" t="s">
        <v>50</v>
      </c>
      <c r="B131" s="144"/>
      <c r="C131" s="144"/>
      <c r="D131" s="144"/>
      <c r="E131" s="144"/>
      <c r="F131" s="144"/>
      <c r="G131" s="144"/>
      <c r="H131" s="144"/>
      <c r="I131" s="145">
        <f>I28</f>
        <v>0</v>
      </c>
      <c r="J131" s="145"/>
    </row>
    <row r="132" spans="1:10" ht="13.5" thickTop="1" x14ac:dyDescent="0.2">
      <c r="H132" s="18" t="s">
        <v>33</v>
      </c>
      <c r="I132" s="129">
        <f>SUM(I31:I130)-I131</f>
        <v>9749441.8399999999</v>
      </c>
      <c r="J132" s="130"/>
    </row>
    <row r="133" spans="1:10" x14ac:dyDescent="0.2">
      <c r="I133" s="28"/>
      <c r="J133" s="28"/>
    </row>
    <row r="134" spans="1:10" ht="15" x14ac:dyDescent="0.25">
      <c r="A134" s="131" t="s">
        <v>51</v>
      </c>
      <c r="B134" s="132"/>
      <c r="C134" s="132"/>
      <c r="D134" s="132"/>
      <c r="E134" s="132"/>
      <c r="F134" s="132"/>
      <c r="G134" s="132"/>
      <c r="H134" s="132"/>
      <c r="I134" s="132"/>
      <c r="J134" s="133"/>
    </row>
    <row r="135" spans="1:10" x14ac:dyDescent="0.2">
      <c r="A135" s="206"/>
      <c r="B135" s="206"/>
      <c r="C135" s="206"/>
      <c r="D135" s="206"/>
      <c r="E135" s="206"/>
      <c r="F135" s="206"/>
      <c r="G135" s="206"/>
      <c r="H135" s="206"/>
      <c r="I135" s="206"/>
      <c r="J135" s="206"/>
    </row>
    <row r="136" spans="1:10" x14ac:dyDescent="0.2">
      <c r="A136" s="206"/>
      <c r="B136" s="206"/>
      <c r="C136" s="206"/>
      <c r="D136" s="206"/>
      <c r="E136" s="206"/>
      <c r="F136" s="206"/>
      <c r="G136" s="206"/>
      <c r="H136" s="206"/>
      <c r="I136" s="206"/>
      <c r="J136" s="206"/>
    </row>
    <row r="137" spans="1:10" x14ac:dyDescent="0.2">
      <c r="A137" s="206"/>
      <c r="B137" s="206"/>
      <c r="C137" s="206"/>
      <c r="D137" s="206"/>
      <c r="E137" s="206"/>
      <c r="F137" s="206"/>
      <c r="G137" s="206"/>
      <c r="H137" s="206"/>
      <c r="I137" s="206"/>
      <c r="J137" s="206"/>
    </row>
    <row r="138" spans="1:10" x14ac:dyDescent="0.2">
      <c r="A138" s="206"/>
      <c r="B138" s="206"/>
      <c r="C138" s="206"/>
      <c r="D138" s="206"/>
      <c r="E138" s="206"/>
      <c r="F138" s="206"/>
      <c r="G138" s="206"/>
      <c r="H138" s="206"/>
      <c r="I138" s="206"/>
      <c r="J138" s="206"/>
    </row>
    <row r="139" spans="1:10" x14ac:dyDescent="0.2">
      <c r="A139" s="206"/>
      <c r="B139" s="206"/>
      <c r="C139" s="206"/>
      <c r="D139" s="206"/>
      <c r="E139" s="206"/>
      <c r="F139" s="206"/>
      <c r="G139" s="206"/>
      <c r="H139" s="206"/>
      <c r="I139" s="206"/>
      <c r="J139" s="206"/>
    </row>
    <row r="140" spans="1:10" x14ac:dyDescent="0.2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</row>
  </sheetData>
  <mergeCells count="281">
    <mergeCell ref="I120:J120"/>
    <mergeCell ref="A135:J140"/>
    <mergeCell ref="A129:H129"/>
    <mergeCell ref="I129:J129"/>
    <mergeCell ref="I130:J130"/>
    <mergeCell ref="A128:H128"/>
    <mergeCell ref="I128:J128"/>
    <mergeCell ref="A127:H127"/>
    <mergeCell ref="I127:J127"/>
    <mergeCell ref="I121:J121"/>
    <mergeCell ref="A126:H126"/>
    <mergeCell ref="I126:J126"/>
    <mergeCell ref="A124:H124"/>
    <mergeCell ref="I124:J124"/>
    <mergeCell ref="A131:H131"/>
    <mergeCell ref="I131:J131"/>
    <mergeCell ref="I132:J132"/>
    <mergeCell ref="A134:J134"/>
    <mergeCell ref="A130:H130"/>
    <mergeCell ref="A122:H122"/>
    <mergeCell ref="I122:J122"/>
    <mergeCell ref="A123:H123"/>
    <mergeCell ref="I123:J123"/>
    <mergeCell ref="I99:J99"/>
    <mergeCell ref="A102:H102"/>
    <mergeCell ref="I102:J102"/>
    <mergeCell ref="A100:H100"/>
    <mergeCell ref="A121:H121"/>
    <mergeCell ref="A112:H112"/>
    <mergeCell ref="I112:J112"/>
    <mergeCell ref="A119:H119"/>
    <mergeCell ref="I119:J119"/>
    <mergeCell ref="A111:H111"/>
    <mergeCell ref="I111:J111"/>
    <mergeCell ref="A115:H115"/>
    <mergeCell ref="I115:J115"/>
    <mergeCell ref="A113:H113"/>
    <mergeCell ref="I113:J113"/>
    <mergeCell ref="A114:H114"/>
    <mergeCell ref="I114:J114"/>
    <mergeCell ref="A116:H116"/>
    <mergeCell ref="I116:J116"/>
    <mergeCell ref="A117:H117"/>
    <mergeCell ref="I117:J117"/>
    <mergeCell ref="A118:H118"/>
    <mergeCell ref="I118:J118"/>
    <mergeCell ref="A120:H120"/>
    <mergeCell ref="A97:H97"/>
    <mergeCell ref="I97:J97"/>
    <mergeCell ref="I105:J105"/>
    <mergeCell ref="A106:H106"/>
    <mergeCell ref="I106:J106"/>
    <mergeCell ref="A108:H108"/>
    <mergeCell ref="I108:J108"/>
    <mergeCell ref="A105:H105"/>
    <mergeCell ref="A110:H110"/>
    <mergeCell ref="A101:H101"/>
    <mergeCell ref="I101:J101"/>
    <mergeCell ref="A103:H103"/>
    <mergeCell ref="I103:J103"/>
    <mergeCell ref="I100:J100"/>
    <mergeCell ref="I110:J110"/>
    <mergeCell ref="A107:H107"/>
    <mergeCell ref="A104:H104"/>
    <mergeCell ref="I104:J104"/>
    <mergeCell ref="I107:J107"/>
    <mergeCell ref="A98:H98"/>
    <mergeCell ref="I98:J98"/>
    <mergeCell ref="A109:H109"/>
    <mergeCell ref="I109:J109"/>
    <mergeCell ref="A99:H99"/>
    <mergeCell ref="A84:H84"/>
    <mergeCell ref="I84:J84"/>
    <mergeCell ref="A85:H85"/>
    <mergeCell ref="I85:J85"/>
    <mergeCell ref="A86:H86"/>
    <mergeCell ref="I86:J86"/>
    <mergeCell ref="A87:H87"/>
    <mergeCell ref="I87:J87"/>
    <mergeCell ref="A88:H88"/>
    <mergeCell ref="I88:J88"/>
    <mergeCell ref="A89:H89"/>
    <mergeCell ref="I89:J89"/>
    <mergeCell ref="A96:H96"/>
    <mergeCell ref="I96:J96"/>
    <mergeCell ref="A90:H90"/>
    <mergeCell ref="I90:J90"/>
    <mergeCell ref="A91:H91"/>
    <mergeCell ref="I91:J91"/>
    <mergeCell ref="A92:H92"/>
    <mergeCell ref="I92:J92"/>
    <mergeCell ref="A93:H93"/>
    <mergeCell ref="I93:J93"/>
    <mergeCell ref="A94:H94"/>
    <mergeCell ref="I94:J94"/>
    <mergeCell ref="A95:H95"/>
    <mergeCell ref="I95:J95"/>
    <mergeCell ref="A81:H81"/>
    <mergeCell ref="I81:J81"/>
    <mergeCell ref="A82:H82"/>
    <mergeCell ref="I82:J82"/>
    <mergeCell ref="A83:H83"/>
    <mergeCell ref="I83:J83"/>
    <mergeCell ref="A78:H78"/>
    <mergeCell ref="I78:J78"/>
    <mergeCell ref="A79:H79"/>
    <mergeCell ref="I79:J79"/>
    <mergeCell ref="A80:H80"/>
    <mergeCell ref="I80:J80"/>
    <mergeCell ref="A75:H75"/>
    <mergeCell ref="I75:J75"/>
    <mergeCell ref="A76:H76"/>
    <mergeCell ref="I76:J76"/>
    <mergeCell ref="A77:H77"/>
    <mergeCell ref="I77:J77"/>
    <mergeCell ref="A72:H72"/>
    <mergeCell ref="I72:J72"/>
    <mergeCell ref="A73:H73"/>
    <mergeCell ref="I73:J73"/>
    <mergeCell ref="A74:H74"/>
    <mergeCell ref="I74:J74"/>
    <mergeCell ref="A69:H69"/>
    <mergeCell ref="I69:J69"/>
    <mergeCell ref="A70:H70"/>
    <mergeCell ref="I70:J70"/>
    <mergeCell ref="A71:H71"/>
    <mergeCell ref="I71:J71"/>
    <mergeCell ref="A66:H66"/>
    <mergeCell ref="I66:J66"/>
    <mergeCell ref="A67:H67"/>
    <mergeCell ref="I67:J67"/>
    <mergeCell ref="A68:H68"/>
    <mergeCell ref="I68:J68"/>
    <mergeCell ref="A63:H63"/>
    <mergeCell ref="I63:J63"/>
    <mergeCell ref="A64:H64"/>
    <mergeCell ref="I64:J64"/>
    <mergeCell ref="A65:H65"/>
    <mergeCell ref="I65:J65"/>
    <mergeCell ref="A60:H60"/>
    <mergeCell ref="I60:J60"/>
    <mergeCell ref="A61:H61"/>
    <mergeCell ref="I61:J61"/>
    <mergeCell ref="A62:H62"/>
    <mergeCell ref="I62:J62"/>
    <mergeCell ref="A57:H57"/>
    <mergeCell ref="I57:J57"/>
    <mergeCell ref="A59:H59"/>
    <mergeCell ref="I59:J59"/>
    <mergeCell ref="A58:H58"/>
    <mergeCell ref="I58:J58"/>
    <mergeCell ref="A54:H54"/>
    <mergeCell ref="I54:J54"/>
    <mergeCell ref="A55:H55"/>
    <mergeCell ref="I55:J55"/>
    <mergeCell ref="A56:H56"/>
    <mergeCell ref="I56:J56"/>
    <mergeCell ref="A51:H51"/>
    <mergeCell ref="I51:J51"/>
    <mergeCell ref="A52:H52"/>
    <mergeCell ref="I52:J52"/>
    <mergeCell ref="A53:H53"/>
    <mergeCell ref="I53:J53"/>
    <mergeCell ref="A48:H48"/>
    <mergeCell ref="I48:J48"/>
    <mergeCell ref="A49:H49"/>
    <mergeCell ref="I49:J49"/>
    <mergeCell ref="A50:H50"/>
    <mergeCell ref="I50:J50"/>
    <mergeCell ref="A45:H45"/>
    <mergeCell ref="I45:J45"/>
    <mergeCell ref="A46:H46"/>
    <mergeCell ref="I46:J46"/>
    <mergeCell ref="A47:H47"/>
    <mergeCell ref="I47:J47"/>
    <mergeCell ref="A42:H42"/>
    <mergeCell ref="I42:J42"/>
    <mergeCell ref="A43:H43"/>
    <mergeCell ref="I43:J43"/>
    <mergeCell ref="A44:H44"/>
    <mergeCell ref="I44:J44"/>
    <mergeCell ref="A40:H40"/>
    <mergeCell ref="I40:J40"/>
    <mergeCell ref="A41:H41"/>
    <mergeCell ref="I41:J41"/>
    <mergeCell ref="A38:H38"/>
    <mergeCell ref="I38:J38"/>
    <mergeCell ref="A39:H39"/>
    <mergeCell ref="I39:J39"/>
    <mergeCell ref="A35:H35"/>
    <mergeCell ref="I35:J35"/>
    <mergeCell ref="A36:H36"/>
    <mergeCell ref="I36:J36"/>
    <mergeCell ref="A37:H37"/>
    <mergeCell ref="I37:J37"/>
    <mergeCell ref="A33:H33"/>
    <mergeCell ref="I33:J33"/>
    <mergeCell ref="A34:H34"/>
    <mergeCell ref="I34:J34"/>
    <mergeCell ref="A32:H32"/>
    <mergeCell ref="I32:J32"/>
    <mergeCell ref="A31:H31"/>
    <mergeCell ref="I31:J31"/>
    <mergeCell ref="B27:C27"/>
    <mergeCell ref="E27:F27"/>
    <mergeCell ref="G27:H27"/>
    <mergeCell ref="I27:J27"/>
    <mergeCell ref="I28:J28"/>
    <mergeCell ref="I30:J30"/>
    <mergeCell ref="B25:C25"/>
    <mergeCell ref="E25:F25"/>
    <mergeCell ref="G25:H25"/>
    <mergeCell ref="I25:J25"/>
    <mergeCell ref="B22:C22"/>
    <mergeCell ref="E22:F22"/>
    <mergeCell ref="G22:H22"/>
    <mergeCell ref="I22:J22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G13:H13"/>
    <mergeCell ref="B6:C6"/>
    <mergeCell ref="D6:E6"/>
    <mergeCell ref="G6:H6"/>
    <mergeCell ref="B7:C7"/>
    <mergeCell ref="D7:E7"/>
    <mergeCell ref="G7:H7"/>
    <mergeCell ref="D8:E8"/>
    <mergeCell ref="G8:H8"/>
    <mergeCell ref="B9:C9"/>
    <mergeCell ref="D9:E9"/>
    <mergeCell ref="G9:H9"/>
    <mergeCell ref="B8:C8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A16:J16"/>
    <mergeCell ref="A17:A18"/>
    <mergeCell ref="B17:C18"/>
    <mergeCell ref="D17:D18"/>
    <mergeCell ref="E17:F18"/>
    <mergeCell ref="G17:H18"/>
    <mergeCell ref="I17:J18"/>
    <mergeCell ref="B21:C21"/>
    <mergeCell ref="E21:F21"/>
    <mergeCell ref="G21:H21"/>
    <mergeCell ref="I21:J21"/>
    <mergeCell ref="B19:C19"/>
    <mergeCell ref="E19:F19"/>
    <mergeCell ref="G19:H19"/>
    <mergeCell ref="I19:J19"/>
    <mergeCell ref="B20:C20"/>
    <mergeCell ref="E20:F20"/>
    <mergeCell ref="G20:H20"/>
    <mergeCell ref="I20:J20"/>
  </mergeCells>
  <phoneticPr fontId="6" type="noConversion"/>
  <pageMargins left="0.7" right="0.7" top="0.75" bottom="0.75" header="0.3" footer="0.3"/>
  <pageSetup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54">
    <pageSetUpPr fitToPage="1"/>
  </sheetPr>
  <dimension ref="A1:J42"/>
  <sheetViews>
    <sheetView topLeftCell="A22" workbookViewId="0">
      <selection activeCell="I32" sqref="I32:J32"/>
    </sheetView>
  </sheetViews>
  <sheetFormatPr defaultRowHeight="12.75" x14ac:dyDescent="0.2"/>
  <cols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702</v>
      </c>
      <c r="B2" s="6"/>
      <c r="C2" s="6"/>
      <c r="D2" s="6"/>
      <c r="E2" s="6"/>
      <c r="F2" s="6"/>
      <c r="G2" s="6"/>
      <c r="H2" s="6"/>
      <c r="I2" s="6"/>
      <c r="J2" s="7" t="s">
        <v>100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344" t="s">
        <v>27</v>
      </c>
      <c r="J4" s="232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233"/>
      <c r="J5" s="233"/>
    </row>
    <row r="6" spans="1:10" x14ac:dyDescent="0.2">
      <c r="A6" s="17">
        <v>1</v>
      </c>
      <c r="B6" s="128">
        <v>7631677</v>
      </c>
      <c r="C6" s="128"/>
      <c r="D6" s="128">
        <v>7635680</v>
      </c>
      <c r="E6" s="128"/>
      <c r="F6" s="12">
        <v>34932</v>
      </c>
      <c r="G6" s="169" t="s">
        <v>703</v>
      </c>
      <c r="H6" s="169"/>
      <c r="I6" s="11">
        <v>878870</v>
      </c>
      <c r="J6" s="11">
        <f>I6*0.8</f>
        <v>703096</v>
      </c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11"/>
      <c r="J7" s="11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11"/>
      <c r="J8" s="11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11"/>
      <c r="J9" s="11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11"/>
      <c r="J10" s="11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11"/>
      <c r="J11" s="11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11"/>
      <c r="J12" s="11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92"/>
      <c r="J13" s="92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93">
        <f>SUM(I6:I13)</f>
        <v>878870</v>
      </c>
      <c r="J14" s="93">
        <f>SUM(J6:J13)</f>
        <v>703096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 t="s">
        <v>704</v>
      </c>
      <c r="C19" s="128"/>
      <c r="D19" s="10">
        <v>4090</v>
      </c>
      <c r="E19" s="182">
        <v>36678</v>
      </c>
      <c r="F19" s="128"/>
      <c r="G19" s="128">
        <v>7608001</v>
      </c>
      <c r="H19" s="128"/>
      <c r="I19" s="136">
        <v>230228</v>
      </c>
      <c r="J19" s="136"/>
    </row>
    <row r="20" spans="1:10" x14ac:dyDescent="0.2">
      <c r="A20" s="19">
        <v>2</v>
      </c>
      <c r="B20" s="137">
        <v>448600</v>
      </c>
      <c r="C20" s="137"/>
      <c r="D20" s="19">
        <v>25842</v>
      </c>
      <c r="E20" s="196">
        <v>40893</v>
      </c>
      <c r="F20" s="137"/>
      <c r="G20" s="137" t="s">
        <v>705</v>
      </c>
      <c r="H20" s="137"/>
      <c r="I20" s="138">
        <v>238793.97</v>
      </c>
      <c r="J20" s="138"/>
    </row>
    <row r="21" spans="1:10" x14ac:dyDescent="0.2">
      <c r="A21" s="19">
        <v>3</v>
      </c>
      <c r="B21" s="137">
        <v>440001</v>
      </c>
      <c r="C21" s="137"/>
      <c r="D21" s="19">
        <v>82411</v>
      </c>
      <c r="E21" s="137" t="s">
        <v>709</v>
      </c>
      <c r="F21" s="137"/>
      <c r="G21" s="164" t="s">
        <v>944</v>
      </c>
      <c r="H21" s="165"/>
      <c r="I21" s="138">
        <f>122711.94*1.05</f>
        <v>128847.53700000001</v>
      </c>
      <c r="J21" s="138"/>
    </row>
    <row r="22" spans="1:10" x14ac:dyDescent="0.2">
      <c r="A22" s="19">
        <v>4</v>
      </c>
      <c r="B22" s="137"/>
      <c r="C22" s="137"/>
      <c r="D22" s="19">
        <v>82410</v>
      </c>
      <c r="E22" s="196">
        <v>41800</v>
      </c>
      <c r="F22" s="137"/>
      <c r="G22" s="137" t="s">
        <v>708</v>
      </c>
      <c r="H22" s="137"/>
      <c r="I22" s="138">
        <v>162516.71</v>
      </c>
      <c r="J22" s="138"/>
    </row>
    <row r="23" spans="1:10" x14ac:dyDescent="0.2">
      <c r="A23" s="19"/>
      <c r="B23" s="137"/>
      <c r="C23" s="137"/>
      <c r="D23" s="19">
        <v>86517</v>
      </c>
      <c r="E23" s="196">
        <v>42070</v>
      </c>
      <c r="F23" s="137"/>
      <c r="G23" s="137" t="s">
        <v>1016</v>
      </c>
      <c r="H23" s="137"/>
      <c r="I23" s="138">
        <v>182113.95</v>
      </c>
      <c r="J23" s="138"/>
    </row>
    <row r="24" spans="1:10" x14ac:dyDescent="0.2">
      <c r="A24" s="26">
        <v>6</v>
      </c>
      <c r="B24" s="236"/>
      <c r="C24" s="236"/>
      <c r="D24" s="26"/>
      <c r="E24" s="236"/>
      <c r="F24" s="236"/>
      <c r="G24" s="236"/>
      <c r="H24" s="236"/>
      <c r="I24" s="247"/>
      <c r="J24" s="247"/>
    </row>
    <row r="25" spans="1:10" x14ac:dyDescent="0.2">
      <c r="A25" s="26"/>
      <c r="B25" s="236"/>
      <c r="C25" s="236"/>
      <c r="D25" s="26"/>
      <c r="E25" s="236"/>
      <c r="F25" s="236"/>
      <c r="G25" s="236"/>
      <c r="H25" s="236"/>
      <c r="I25" s="247"/>
      <c r="J25" s="247"/>
    </row>
    <row r="26" spans="1:10" x14ac:dyDescent="0.2">
      <c r="A26" s="26"/>
      <c r="B26" s="236"/>
      <c r="C26" s="236"/>
      <c r="D26" s="26"/>
      <c r="E26" s="236"/>
      <c r="F26" s="236"/>
      <c r="G26" s="236"/>
      <c r="H26" s="236"/>
      <c r="I26" s="247"/>
      <c r="J26" s="247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942500.1669999999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240">
        <f>I14*80%</f>
        <v>703096</v>
      </c>
      <c r="J31" s="240"/>
    </row>
    <row r="32" spans="1:10" x14ac:dyDescent="0.2">
      <c r="A32" s="144" t="s">
        <v>706</v>
      </c>
      <c r="B32" s="144"/>
      <c r="C32" s="144"/>
      <c r="D32" s="144"/>
      <c r="E32" s="144"/>
      <c r="F32" s="144"/>
      <c r="G32" s="144"/>
      <c r="H32" s="144"/>
      <c r="I32" s="245">
        <f>-230178+470320</f>
        <v>240142</v>
      </c>
      <c r="J32" s="245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246">
        <f>I28</f>
        <v>942500.1669999999</v>
      </c>
      <c r="J33" s="246"/>
    </row>
    <row r="34" spans="1:10" ht="13.5" thickTop="1" x14ac:dyDescent="0.2">
      <c r="H34" s="18" t="s">
        <v>33</v>
      </c>
      <c r="I34" s="243">
        <f>I31+I32-I33</f>
        <v>737.83300000010058</v>
      </c>
      <c r="J34" s="244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139" t="s">
        <v>707</v>
      </c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87">
    <mergeCell ref="A3:J3"/>
    <mergeCell ref="A4:A5"/>
    <mergeCell ref="B4:E4"/>
    <mergeCell ref="F4:F5"/>
    <mergeCell ref="G4:H5"/>
    <mergeCell ref="B5:C5"/>
    <mergeCell ref="D5:E5"/>
    <mergeCell ref="B8:C8"/>
    <mergeCell ref="D8:E8"/>
    <mergeCell ref="G8:H8"/>
    <mergeCell ref="B6:C6"/>
    <mergeCell ref="D6:E6"/>
    <mergeCell ref="G6:H6"/>
    <mergeCell ref="B7:C7"/>
    <mergeCell ref="D7:E7"/>
    <mergeCell ref="G7:H7"/>
    <mergeCell ref="B9:C9"/>
    <mergeCell ref="D9:E9"/>
    <mergeCell ref="G9:H9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19:C19"/>
    <mergeCell ref="E19:F19"/>
    <mergeCell ref="G19:H19"/>
    <mergeCell ref="I19:J19"/>
    <mergeCell ref="A16:J16"/>
    <mergeCell ref="A17:A18"/>
    <mergeCell ref="B17:C18"/>
    <mergeCell ref="D17:D18"/>
    <mergeCell ref="E17:F18"/>
    <mergeCell ref="G17:H18"/>
    <mergeCell ref="B20:C20"/>
    <mergeCell ref="E20:F20"/>
    <mergeCell ref="G20:H20"/>
    <mergeCell ref="I20:J20"/>
    <mergeCell ref="G21:H21"/>
    <mergeCell ref="B21:C21"/>
    <mergeCell ref="E21:F21"/>
    <mergeCell ref="I21:J21"/>
    <mergeCell ref="B23:C23"/>
    <mergeCell ref="E23:F23"/>
    <mergeCell ref="G23:H23"/>
    <mergeCell ref="I23:J23"/>
    <mergeCell ref="B22:C22"/>
    <mergeCell ref="E22:F22"/>
    <mergeCell ref="G22:H22"/>
    <mergeCell ref="I22:J22"/>
    <mergeCell ref="B25:C25"/>
    <mergeCell ref="E25:F25"/>
    <mergeCell ref="G25:H25"/>
    <mergeCell ref="I25:J25"/>
    <mergeCell ref="B24:C24"/>
    <mergeCell ref="E24:F24"/>
    <mergeCell ref="G24:H24"/>
    <mergeCell ref="I24:J24"/>
    <mergeCell ref="I27:J27"/>
    <mergeCell ref="B26:C26"/>
    <mergeCell ref="E26:F26"/>
    <mergeCell ref="G26:H26"/>
    <mergeCell ref="I26:J26"/>
    <mergeCell ref="I34:J34"/>
    <mergeCell ref="A36:J36"/>
    <mergeCell ref="A37:J42"/>
    <mergeCell ref="I4:I5"/>
    <mergeCell ref="J4:J5"/>
    <mergeCell ref="A32:H32"/>
    <mergeCell ref="I32:J32"/>
    <mergeCell ref="A33:H33"/>
    <mergeCell ref="I33:J33"/>
    <mergeCell ref="I28:J28"/>
    <mergeCell ref="I30:J30"/>
    <mergeCell ref="A31:H31"/>
    <mergeCell ref="I31:J31"/>
    <mergeCell ref="B27:C27"/>
    <mergeCell ref="E27:F27"/>
    <mergeCell ref="G27:H27"/>
  </mergeCells>
  <phoneticPr fontId="6" type="noConversion"/>
  <pageMargins left="0.75" right="0.75" top="1" bottom="1" header="0.5" footer="0.5"/>
  <pageSetup scale="95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J42"/>
  <sheetViews>
    <sheetView workbookViewId="0">
      <selection activeCell="I21" sqref="I21:J21"/>
    </sheetView>
  </sheetViews>
  <sheetFormatPr defaultRowHeight="12.75" x14ac:dyDescent="0.2"/>
  <cols>
    <col min="6" max="6" width="12.28515625" customWidth="1"/>
    <col min="7" max="7" width="12.5703125" customWidth="1"/>
    <col min="8" max="8" width="13" customWidth="1"/>
    <col min="9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1358</v>
      </c>
      <c r="B2" s="6"/>
      <c r="C2" s="6"/>
      <c r="D2" s="6"/>
      <c r="E2" s="6"/>
      <c r="F2" s="6"/>
      <c r="G2" s="6"/>
      <c r="H2" s="6"/>
      <c r="I2" s="6"/>
      <c r="J2" s="7" t="s">
        <v>100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344" t="s">
        <v>27</v>
      </c>
      <c r="J4" s="232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233"/>
      <c r="J5" s="233"/>
    </row>
    <row r="6" spans="1:10" x14ac:dyDescent="0.2">
      <c r="A6" s="94">
        <v>1</v>
      </c>
      <c r="B6" s="128">
        <v>7738064</v>
      </c>
      <c r="C6" s="128"/>
      <c r="D6" s="137" t="s">
        <v>1182</v>
      </c>
      <c r="E6" s="128"/>
      <c r="F6" s="12">
        <v>43698</v>
      </c>
      <c r="G6" s="169"/>
      <c r="H6" s="169"/>
      <c r="I6" s="32">
        <v>388828.34</v>
      </c>
      <c r="J6" s="32">
        <f>I6*0.8</f>
        <v>311062.67200000002</v>
      </c>
    </row>
    <row r="7" spans="1:10" x14ac:dyDescent="0.2">
      <c r="A7" s="9">
        <v>2</v>
      </c>
      <c r="B7" s="128">
        <v>7746032</v>
      </c>
      <c r="C7" s="128"/>
      <c r="D7" s="128" t="s">
        <v>1182</v>
      </c>
      <c r="E7" s="128"/>
      <c r="F7" s="12">
        <v>45160</v>
      </c>
      <c r="G7" s="169"/>
      <c r="H7" s="169"/>
      <c r="I7" s="32">
        <v>1075990.8</v>
      </c>
      <c r="J7" s="32">
        <f>I7*0.8</f>
        <v>860792.64000000013</v>
      </c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2"/>
      <c r="J8" s="32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55"/>
      <c r="J13" s="55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78">
        <f>SUM(I6:I13)</f>
        <v>1464819.1400000001</v>
      </c>
      <c r="J14" s="78">
        <f>SUM(J6:J13)</f>
        <v>1171855.3120000002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/>
      <c r="C19" s="128"/>
      <c r="D19" s="10">
        <v>106668</v>
      </c>
      <c r="E19" s="182"/>
      <c r="F19" s="128"/>
      <c r="G19" s="137" t="s">
        <v>1359</v>
      </c>
      <c r="H19" s="128"/>
      <c r="I19" s="136">
        <v>115726.31</v>
      </c>
      <c r="J19" s="136"/>
    </row>
    <row r="20" spans="1:10" x14ac:dyDescent="0.2">
      <c r="A20" s="58">
        <v>2</v>
      </c>
      <c r="B20" s="151"/>
      <c r="C20" s="151"/>
      <c r="D20" s="58"/>
      <c r="E20" s="260"/>
      <c r="F20" s="151"/>
      <c r="G20" s="151" t="s">
        <v>1632</v>
      </c>
      <c r="H20" s="151"/>
      <c r="I20" s="152">
        <v>487905</v>
      </c>
      <c r="J20" s="152"/>
    </row>
    <row r="21" spans="1:10" x14ac:dyDescent="0.2">
      <c r="A21" s="58"/>
      <c r="B21" s="151"/>
      <c r="C21" s="151"/>
      <c r="D21" s="58"/>
      <c r="E21" s="151"/>
      <c r="F21" s="151"/>
      <c r="G21" s="320"/>
      <c r="H21" s="321"/>
      <c r="I21" s="152"/>
      <c r="J21" s="152"/>
    </row>
    <row r="22" spans="1:10" x14ac:dyDescent="0.2">
      <c r="A22" s="19"/>
      <c r="B22" s="137"/>
      <c r="C22" s="137"/>
      <c r="D22" s="19"/>
      <c r="E22" s="137"/>
      <c r="F22" s="137"/>
      <c r="G22" s="137"/>
      <c r="H22" s="137"/>
      <c r="I22" s="138"/>
      <c r="J22" s="138"/>
    </row>
    <row r="23" spans="1:10" x14ac:dyDescent="0.2">
      <c r="A23" s="19"/>
      <c r="B23" s="137"/>
      <c r="C23" s="137"/>
      <c r="D23" s="19"/>
      <c r="E23" s="196"/>
      <c r="F23" s="137"/>
      <c r="G23" s="137"/>
      <c r="H23" s="137"/>
      <c r="I23" s="138"/>
      <c r="J23" s="138"/>
    </row>
    <row r="24" spans="1:10" x14ac:dyDescent="0.2">
      <c r="A24" s="26"/>
      <c r="B24" s="236"/>
      <c r="C24" s="236"/>
      <c r="D24" s="26"/>
      <c r="E24" s="236"/>
      <c r="F24" s="236"/>
      <c r="G24" s="236"/>
      <c r="H24" s="236"/>
      <c r="I24" s="247"/>
      <c r="J24" s="247"/>
    </row>
    <row r="25" spans="1:10" x14ac:dyDescent="0.2">
      <c r="A25" s="26"/>
      <c r="B25" s="236"/>
      <c r="C25" s="236"/>
      <c r="D25" s="26"/>
      <c r="E25" s="236"/>
      <c r="F25" s="236"/>
      <c r="G25" s="236"/>
      <c r="H25" s="236"/>
      <c r="I25" s="247"/>
      <c r="J25" s="247"/>
    </row>
    <row r="26" spans="1:10" x14ac:dyDescent="0.2">
      <c r="A26" s="26"/>
      <c r="B26" s="236"/>
      <c r="C26" s="236"/>
      <c r="D26" s="26"/>
      <c r="E26" s="236"/>
      <c r="F26" s="236"/>
      <c r="G26" s="236"/>
      <c r="H26" s="236"/>
      <c r="I26" s="247"/>
      <c r="J26" s="247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26"/>
      <c r="J27" s="226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140">
        <f>SUM(I19:J27)</f>
        <v>603631.31000000006</v>
      </c>
      <c r="J28" s="140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48">
        <f>I14*80%</f>
        <v>1171855.3120000002</v>
      </c>
      <c r="J31" s="148"/>
    </row>
    <row r="32" spans="1:10" x14ac:dyDescent="0.2">
      <c r="A32" s="144"/>
      <c r="B32" s="144"/>
      <c r="C32" s="144"/>
      <c r="D32" s="144"/>
      <c r="E32" s="144"/>
      <c r="F32" s="144"/>
      <c r="G32" s="144"/>
      <c r="H32" s="144"/>
      <c r="I32" s="184"/>
      <c r="J32" s="184"/>
    </row>
    <row r="33" spans="1:10" ht="13.5" thickBot="1" x14ac:dyDescent="0.25">
      <c r="A33" s="144" t="s">
        <v>50</v>
      </c>
      <c r="B33" s="144"/>
      <c r="C33" s="144"/>
      <c r="D33" s="144"/>
      <c r="E33" s="144"/>
      <c r="F33" s="144"/>
      <c r="G33" s="144"/>
      <c r="H33" s="144"/>
      <c r="I33" s="145">
        <f>I28</f>
        <v>603631.31000000006</v>
      </c>
      <c r="J33" s="145"/>
    </row>
    <row r="34" spans="1:10" ht="13.5" thickTop="1" x14ac:dyDescent="0.2">
      <c r="H34" s="18" t="s">
        <v>33</v>
      </c>
      <c r="I34" s="129">
        <f>I31+I32-I33</f>
        <v>568224.00200000009</v>
      </c>
      <c r="J34" s="130"/>
    </row>
    <row r="36" spans="1:10" ht="15" x14ac:dyDescent="0.25">
      <c r="A36" s="131" t="s">
        <v>51</v>
      </c>
      <c r="B36" s="132"/>
      <c r="C36" s="132"/>
      <c r="D36" s="132"/>
      <c r="E36" s="132"/>
      <c r="F36" s="132"/>
      <c r="G36" s="132"/>
      <c r="H36" s="132"/>
      <c r="I36" s="132"/>
      <c r="J36" s="133"/>
    </row>
    <row r="37" spans="1:10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</sheetData>
  <mergeCells count="87">
    <mergeCell ref="I34:J34"/>
    <mergeCell ref="A36:J36"/>
    <mergeCell ref="A37:J42"/>
    <mergeCell ref="A31:H31"/>
    <mergeCell ref="I31:J31"/>
    <mergeCell ref="A32:H32"/>
    <mergeCell ref="I32:J32"/>
    <mergeCell ref="A33:H33"/>
    <mergeCell ref="I33:J33"/>
    <mergeCell ref="I30:J30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I28:J28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43"/>
  <sheetViews>
    <sheetView topLeftCell="A10" workbookViewId="0">
      <selection activeCell="I32" sqref="I32:J32"/>
    </sheetView>
  </sheetViews>
  <sheetFormatPr defaultRowHeight="12.75" x14ac:dyDescent="0.2"/>
  <cols>
    <col min="6" max="6" width="16.4257812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818</v>
      </c>
      <c r="B2" s="6"/>
      <c r="C2" s="6"/>
      <c r="D2" s="6"/>
      <c r="E2" s="6"/>
      <c r="F2" s="6"/>
      <c r="G2" s="6"/>
      <c r="H2" s="6"/>
      <c r="I2" s="6"/>
      <c r="J2" s="7" t="s">
        <v>715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4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0" x14ac:dyDescent="0.2">
      <c r="A6" s="9"/>
      <c r="B6" s="183"/>
      <c r="C6" s="128"/>
      <c r="D6" s="183"/>
      <c r="E6" s="128"/>
      <c r="F6" s="12"/>
      <c r="G6" s="169"/>
      <c r="H6" s="169"/>
      <c r="I6" s="20"/>
      <c r="J6" s="21"/>
    </row>
    <row r="7" spans="1:10" x14ac:dyDescent="0.2">
      <c r="A7" s="9"/>
      <c r="B7" s="183"/>
      <c r="C7" s="128"/>
      <c r="D7" s="183"/>
      <c r="E7" s="128"/>
      <c r="F7" s="12"/>
      <c r="G7" s="169"/>
      <c r="H7" s="169"/>
      <c r="I7" s="20"/>
      <c r="J7" s="21"/>
    </row>
    <row r="8" spans="1:10" x14ac:dyDescent="0.2">
      <c r="A8" s="9"/>
      <c r="B8" s="183"/>
      <c r="C8" s="128"/>
      <c r="D8" s="183"/>
      <c r="E8" s="128"/>
      <c r="F8" s="12"/>
      <c r="G8" s="169"/>
      <c r="H8" s="169"/>
      <c r="I8" s="20"/>
      <c r="J8" s="21"/>
    </row>
    <row r="9" spans="1:10" x14ac:dyDescent="0.2">
      <c r="A9" s="9"/>
      <c r="B9" s="183"/>
      <c r="C9" s="128"/>
      <c r="D9" s="183"/>
      <c r="E9" s="128"/>
      <c r="F9" s="12"/>
      <c r="G9" s="169"/>
      <c r="H9" s="169"/>
      <c r="I9" s="20"/>
      <c r="J9" s="21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20"/>
      <c r="J10" s="21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20"/>
      <c r="J11" s="21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20"/>
      <c r="J12" s="21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22"/>
      <c r="J13" s="23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24">
        <f>SUM(I6:I13)</f>
        <v>0</v>
      </c>
      <c r="J14" s="24">
        <f>SUM(J6:J13)</f>
        <v>0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26"/>
      <c r="B19" s="235"/>
      <c r="C19" s="236"/>
      <c r="D19" s="26"/>
      <c r="E19" s="237"/>
      <c r="F19" s="236"/>
      <c r="G19" s="236"/>
      <c r="H19" s="236"/>
      <c r="I19" s="238"/>
      <c r="J19" s="238"/>
    </row>
    <row r="20" spans="1:10" x14ac:dyDescent="0.2">
      <c r="A20" s="26"/>
      <c r="B20" s="236"/>
      <c r="C20" s="236"/>
      <c r="D20" s="26"/>
      <c r="E20" s="236"/>
      <c r="F20" s="236"/>
      <c r="G20" s="236"/>
      <c r="H20" s="236"/>
      <c r="I20" s="238"/>
      <c r="J20" s="238"/>
    </row>
    <row r="21" spans="1:10" x14ac:dyDescent="0.2">
      <c r="A21" s="9"/>
      <c r="B21" s="128"/>
      <c r="C21" s="128"/>
      <c r="D21" s="9"/>
      <c r="E21" s="128"/>
      <c r="F21" s="128"/>
      <c r="G21" s="128"/>
      <c r="H21" s="128"/>
      <c r="I21" s="239"/>
      <c r="J21" s="239"/>
    </row>
    <row r="22" spans="1:10" x14ac:dyDescent="0.2">
      <c r="A22" s="9"/>
      <c r="B22" s="128"/>
      <c r="C22" s="128"/>
      <c r="D22" s="9"/>
      <c r="E22" s="128"/>
      <c r="F22" s="128"/>
      <c r="G22" s="128"/>
      <c r="H22" s="128"/>
      <c r="I22" s="239"/>
      <c r="J22" s="239"/>
    </row>
    <row r="23" spans="1:10" x14ac:dyDescent="0.2">
      <c r="A23" s="9"/>
      <c r="B23" s="128"/>
      <c r="C23" s="128"/>
      <c r="D23" s="9"/>
      <c r="E23" s="128"/>
      <c r="F23" s="128"/>
      <c r="G23" s="128"/>
      <c r="H23" s="128"/>
      <c r="I23" s="239"/>
      <c r="J23" s="239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239"/>
      <c r="J24" s="239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239"/>
      <c r="J25" s="239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239"/>
      <c r="J26" s="239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41"/>
      <c r="J27" s="241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242">
        <f>SUM(I19:J27)</f>
        <v>0</v>
      </c>
      <c r="J28" s="242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240">
        <f>I14*80%</f>
        <v>0</v>
      </c>
      <c r="J31" s="240"/>
    </row>
    <row r="32" spans="1:10" x14ac:dyDescent="0.2">
      <c r="A32" s="144" t="s">
        <v>49</v>
      </c>
      <c r="B32" s="144"/>
      <c r="C32" s="144"/>
      <c r="D32" s="144"/>
      <c r="E32" s="144"/>
      <c r="F32" s="144"/>
      <c r="G32" s="144"/>
      <c r="H32" s="144"/>
      <c r="I32" s="245">
        <v>118957</v>
      </c>
      <c r="J32" s="245"/>
    </row>
    <row r="33" spans="1:10" x14ac:dyDescent="0.2">
      <c r="A33" s="144" t="s">
        <v>918</v>
      </c>
      <c r="B33" s="144"/>
      <c r="C33" s="144"/>
      <c r="D33" s="144"/>
      <c r="E33" s="144"/>
      <c r="F33" s="144"/>
      <c r="G33" s="144"/>
      <c r="H33" s="144"/>
      <c r="I33" s="245">
        <v>-118957</v>
      </c>
      <c r="J33" s="245"/>
    </row>
    <row r="34" spans="1:10" ht="13.5" thickBot="1" x14ac:dyDescent="0.25">
      <c r="A34" s="144" t="s">
        <v>50</v>
      </c>
      <c r="B34" s="144"/>
      <c r="C34" s="144"/>
      <c r="D34" s="144"/>
      <c r="E34" s="144"/>
      <c r="F34" s="144"/>
      <c r="G34" s="144"/>
      <c r="H34" s="144"/>
      <c r="I34" s="246">
        <f>I28</f>
        <v>0</v>
      </c>
      <c r="J34" s="246"/>
    </row>
    <row r="35" spans="1:10" ht="13.5" thickTop="1" x14ac:dyDescent="0.2">
      <c r="H35" s="18" t="s">
        <v>33</v>
      </c>
      <c r="I35" s="243">
        <f>I31+I32+I33-I34</f>
        <v>0</v>
      </c>
      <c r="J35" s="244"/>
    </row>
    <row r="37" spans="1:10" ht="15" x14ac:dyDescent="0.25">
      <c r="A37" s="131" t="s">
        <v>51</v>
      </c>
      <c r="B37" s="132"/>
      <c r="C37" s="132"/>
      <c r="D37" s="132"/>
      <c r="E37" s="132"/>
      <c r="F37" s="132"/>
      <c r="G37" s="132"/>
      <c r="H37" s="132"/>
      <c r="I37" s="132"/>
      <c r="J37" s="133"/>
    </row>
    <row r="38" spans="1:10" x14ac:dyDescent="0.2">
      <c r="A38" s="139" t="s">
        <v>844</v>
      </c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</sheetData>
  <mergeCells count="89">
    <mergeCell ref="I35:J35"/>
    <mergeCell ref="A37:J37"/>
    <mergeCell ref="A38:J43"/>
    <mergeCell ref="A32:H32"/>
    <mergeCell ref="I32:J32"/>
    <mergeCell ref="A34:H34"/>
    <mergeCell ref="I34:J34"/>
    <mergeCell ref="A33:H33"/>
    <mergeCell ref="I33:J33"/>
    <mergeCell ref="I30:J30"/>
    <mergeCell ref="A31:H31"/>
    <mergeCell ref="I31:J31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I28:J28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D5:E5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55">
    <pageSetUpPr fitToPage="1"/>
  </sheetPr>
  <dimension ref="A1:J55"/>
  <sheetViews>
    <sheetView topLeftCell="A13" workbookViewId="0">
      <selection activeCell="I25" sqref="I25:J36"/>
    </sheetView>
  </sheetViews>
  <sheetFormatPr defaultRowHeight="12.75" x14ac:dyDescent="0.2"/>
  <cols>
    <col min="5" max="5" width="10.42578125" customWidth="1"/>
    <col min="6" max="6" width="13.85546875" customWidth="1"/>
    <col min="8" max="8" width="15.42578125" customWidth="1"/>
    <col min="9" max="9" width="1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710</v>
      </c>
      <c r="B2" s="6"/>
      <c r="C2" s="6"/>
      <c r="D2" s="6"/>
      <c r="E2" s="6"/>
      <c r="F2" s="6"/>
      <c r="G2" s="6"/>
      <c r="H2" s="6"/>
      <c r="I2" s="6"/>
      <c r="J2" s="7" t="s">
        <v>100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290" t="s">
        <v>27</v>
      </c>
      <c r="J4" s="234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233"/>
      <c r="J5" s="176"/>
    </row>
    <row r="6" spans="1:10" x14ac:dyDescent="0.2">
      <c r="A6" s="9">
        <v>1</v>
      </c>
      <c r="B6" s="128">
        <v>7833008</v>
      </c>
      <c r="C6" s="128"/>
      <c r="D6" s="137" t="s">
        <v>1165</v>
      </c>
      <c r="E6" s="128"/>
      <c r="F6" s="12">
        <v>41752</v>
      </c>
      <c r="G6" s="169"/>
      <c r="H6" s="169"/>
      <c r="I6" s="32">
        <v>68148.73</v>
      </c>
      <c r="J6" s="40">
        <f t="shared" ref="J6:J14" si="0">I6*0.8</f>
        <v>54518.983999999997</v>
      </c>
    </row>
    <row r="7" spans="1:10" x14ac:dyDescent="0.2">
      <c r="A7" s="9">
        <v>2</v>
      </c>
      <c r="B7" s="128">
        <v>7841361</v>
      </c>
      <c r="C7" s="128"/>
      <c r="D7" s="137" t="s">
        <v>1165</v>
      </c>
      <c r="E7" s="128"/>
      <c r="F7" s="12">
        <v>41869</v>
      </c>
      <c r="G7" s="169"/>
      <c r="H7" s="169"/>
      <c r="I7" s="32">
        <v>69769.7</v>
      </c>
      <c r="J7" s="40">
        <f t="shared" si="0"/>
        <v>55815.76</v>
      </c>
    </row>
    <row r="8" spans="1:10" x14ac:dyDescent="0.2">
      <c r="A8" s="9">
        <v>3</v>
      </c>
      <c r="B8" s="128">
        <v>7841310</v>
      </c>
      <c r="C8" s="128"/>
      <c r="D8" s="137" t="s">
        <v>1165</v>
      </c>
      <c r="E8" s="128"/>
      <c r="F8" s="12">
        <v>41869</v>
      </c>
      <c r="G8" s="169"/>
      <c r="H8" s="169"/>
      <c r="I8" s="32">
        <v>62539.44</v>
      </c>
      <c r="J8" s="40">
        <f t="shared" si="0"/>
        <v>50031.552000000003</v>
      </c>
    </row>
    <row r="9" spans="1:10" x14ac:dyDescent="0.2">
      <c r="A9" s="9">
        <v>4</v>
      </c>
      <c r="B9" s="128">
        <v>7843534</v>
      </c>
      <c r="C9" s="128"/>
      <c r="D9" s="137" t="s">
        <v>1165</v>
      </c>
      <c r="E9" s="128"/>
      <c r="F9" s="12">
        <v>42233</v>
      </c>
      <c r="G9" s="169"/>
      <c r="H9" s="169"/>
      <c r="I9" s="32">
        <v>56999.46</v>
      </c>
      <c r="J9" s="40">
        <f t="shared" si="0"/>
        <v>45599.567999999999</v>
      </c>
    </row>
    <row r="10" spans="1:10" x14ac:dyDescent="0.2">
      <c r="A10" s="9">
        <v>5</v>
      </c>
      <c r="B10" s="128">
        <v>7843127</v>
      </c>
      <c r="C10" s="128"/>
      <c r="D10" s="137" t="s">
        <v>1165</v>
      </c>
      <c r="E10" s="128"/>
      <c r="F10" s="12">
        <v>42233</v>
      </c>
      <c r="G10" s="169"/>
      <c r="H10" s="169"/>
      <c r="I10" s="32">
        <v>59382.83</v>
      </c>
      <c r="J10" s="40">
        <f t="shared" si="0"/>
        <v>47506.264000000003</v>
      </c>
    </row>
    <row r="11" spans="1:10" x14ac:dyDescent="0.2">
      <c r="A11" s="9">
        <v>6</v>
      </c>
      <c r="B11" s="128">
        <v>7847521</v>
      </c>
      <c r="C11" s="128"/>
      <c r="D11" s="128">
        <v>7847522</v>
      </c>
      <c r="E11" s="128"/>
      <c r="F11" s="12">
        <v>42912</v>
      </c>
      <c r="G11" s="169"/>
      <c r="H11" s="169"/>
      <c r="I11" s="32">
        <v>53989.13</v>
      </c>
      <c r="J11" s="40">
        <f t="shared" si="0"/>
        <v>43191.304000000004</v>
      </c>
    </row>
    <row r="12" spans="1:10" x14ac:dyDescent="0.2">
      <c r="A12" s="9">
        <v>7</v>
      </c>
      <c r="B12" s="128">
        <v>7843798</v>
      </c>
      <c r="C12" s="128"/>
      <c r="D12" s="137" t="s">
        <v>1182</v>
      </c>
      <c r="E12" s="128"/>
      <c r="F12" s="12">
        <v>43525</v>
      </c>
      <c r="G12" s="169"/>
      <c r="H12" s="169"/>
      <c r="I12" s="32">
        <v>153851.51</v>
      </c>
      <c r="J12" s="40">
        <f t="shared" si="0"/>
        <v>123081.20800000001</v>
      </c>
    </row>
    <row r="13" spans="1:10" x14ac:dyDescent="0.2">
      <c r="A13" s="9">
        <v>8</v>
      </c>
      <c r="B13" s="128">
        <v>7844514</v>
      </c>
      <c r="C13" s="128"/>
      <c r="D13" s="137" t="s">
        <v>1182</v>
      </c>
      <c r="E13" s="128"/>
      <c r="F13" s="12">
        <v>43525</v>
      </c>
      <c r="G13" s="169"/>
      <c r="H13" s="169"/>
      <c r="I13" s="32">
        <v>108540.15</v>
      </c>
      <c r="J13" s="40">
        <f t="shared" si="0"/>
        <v>86832.12</v>
      </c>
    </row>
    <row r="14" spans="1:10" x14ac:dyDescent="0.2">
      <c r="A14" s="9">
        <v>9</v>
      </c>
      <c r="B14" s="128">
        <v>7835221</v>
      </c>
      <c r="C14" s="128"/>
      <c r="D14" s="128">
        <v>7835222</v>
      </c>
      <c r="E14" s="128"/>
      <c r="F14" s="12">
        <v>43872</v>
      </c>
      <c r="G14" s="169"/>
      <c r="H14" s="169"/>
      <c r="I14" s="32">
        <v>73823.679999999993</v>
      </c>
      <c r="J14" s="40">
        <f t="shared" si="0"/>
        <v>59058.943999999996</v>
      </c>
    </row>
    <row r="15" spans="1:10" x14ac:dyDescent="0.2">
      <c r="A15" s="9"/>
      <c r="B15" s="128"/>
      <c r="C15" s="128"/>
      <c r="D15" s="128"/>
      <c r="E15" s="128"/>
      <c r="F15" s="12"/>
      <c r="G15" s="169"/>
      <c r="H15" s="169"/>
      <c r="I15" s="32"/>
      <c r="J15" s="40"/>
    </row>
    <row r="16" spans="1:10" ht="13.5" thickBot="1" x14ac:dyDescent="0.25">
      <c r="A16" s="9"/>
      <c r="B16" s="128"/>
      <c r="C16" s="128"/>
      <c r="D16" s="128"/>
      <c r="E16" s="128"/>
      <c r="F16" s="12"/>
      <c r="G16" s="169"/>
      <c r="H16" s="169"/>
      <c r="I16" s="55"/>
      <c r="J16" s="42"/>
    </row>
    <row r="17" spans="1:10" ht="13.5" thickTop="1" x14ac:dyDescent="0.2">
      <c r="A17" s="13"/>
      <c r="B17" s="13"/>
      <c r="C17" s="13"/>
      <c r="D17" s="13"/>
      <c r="E17" s="13"/>
      <c r="F17" s="13"/>
      <c r="G17" s="13"/>
      <c r="H17" s="13" t="s">
        <v>33</v>
      </c>
      <c r="I17" s="78">
        <f>SUM(I6:I16)</f>
        <v>707044.63000000012</v>
      </c>
      <c r="J17" s="77">
        <f>SUM(J6:J16)</f>
        <v>565635.70400000003</v>
      </c>
    </row>
    <row r="18" spans="1:1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" x14ac:dyDescent="0.25">
      <c r="A19" s="131" t="s">
        <v>34</v>
      </c>
      <c r="B19" s="132"/>
      <c r="C19" s="132"/>
      <c r="D19" s="132"/>
      <c r="E19" s="132"/>
      <c r="F19" s="132"/>
      <c r="G19" s="132"/>
      <c r="H19" s="132"/>
      <c r="I19" s="132"/>
      <c r="J19" s="133"/>
    </row>
    <row r="20" spans="1:10" x14ac:dyDescent="0.2">
      <c r="A20" s="169" t="s">
        <v>23</v>
      </c>
      <c r="B20" s="169" t="s">
        <v>35</v>
      </c>
      <c r="C20" s="169"/>
      <c r="D20" s="169" t="s">
        <v>36</v>
      </c>
      <c r="E20" s="169" t="s">
        <v>37</v>
      </c>
      <c r="F20" s="169"/>
      <c r="G20" s="169" t="s">
        <v>38</v>
      </c>
      <c r="H20" s="169"/>
      <c r="I20" s="169" t="s">
        <v>39</v>
      </c>
      <c r="J20" s="169"/>
    </row>
    <row r="21" spans="1:10" x14ac:dyDescent="0.2">
      <c r="A21" s="169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x14ac:dyDescent="0.2">
      <c r="A22" s="9">
        <v>1</v>
      </c>
      <c r="B22" s="128">
        <v>446580</v>
      </c>
      <c r="C22" s="128"/>
      <c r="D22" s="9">
        <v>23464</v>
      </c>
      <c r="E22" s="128" t="s">
        <v>648</v>
      </c>
      <c r="F22" s="128"/>
      <c r="G22" s="128" t="s">
        <v>711</v>
      </c>
      <c r="H22" s="128"/>
      <c r="I22" s="136">
        <v>20000</v>
      </c>
      <c r="J22" s="136"/>
    </row>
    <row r="23" spans="1:10" x14ac:dyDescent="0.2">
      <c r="A23" s="9">
        <v>2</v>
      </c>
      <c r="B23" s="128">
        <v>446560</v>
      </c>
      <c r="C23" s="128"/>
      <c r="D23" s="9">
        <v>23460</v>
      </c>
      <c r="E23" s="192" t="s">
        <v>887</v>
      </c>
      <c r="F23" s="204"/>
      <c r="G23" s="128" t="s">
        <v>713</v>
      </c>
      <c r="H23" s="128"/>
      <c r="I23" s="136">
        <v>66494</v>
      </c>
      <c r="J23" s="136"/>
    </row>
    <row r="24" spans="1:10" x14ac:dyDescent="0.2">
      <c r="A24" s="9">
        <v>3</v>
      </c>
      <c r="B24" s="128">
        <v>447400</v>
      </c>
      <c r="C24" s="128"/>
      <c r="D24" s="9">
        <v>23982</v>
      </c>
      <c r="E24" s="192" t="s">
        <v>887</v>
      </c>
      <c r="F24" s="204"/>
      <c r="G24" s="128" t="s">
        <v>712</v>
      </c>
      <c r="H24" s="128"/>
      <c r="I24" s="136">
        <v>28250</v>
      </c>
      <c r="J24" s="136"/>
    </row>
    <row r="25" spans="1:10" x14ac:dyDescent="0.2">
      <c r="A25" s="9">
        <v>4</v>
      </c>
      <c r="B25" s="192"/>
      <c r="C25" s="204"/>
      <c r="D25" s="9">
        <v>87270</v>
      </c>
      <c r="E25" s="192"/>
      <c r="F25" s="204"/>
      <c r="G25" s="192" t="s">
        <v>864</v>
      </c>
      <c r="H25" s="204"/>
      <c r="I25" s="194">
        <v>11922.8</v>
      </c>
      <c r="J25" s="195"/>
    </row>
    <row r="26" spans="1:10" x14ac:dyDescent="0.2">
      <c r="A26" s="19">
        <v>5</v>
      </c>
      <c r="B26" s="137"/>
      <c r="C26" s="137"/>
      <c r="D26" s="19">
        <v>82408</v>
      </c>
      <c r="E26" s="196">
        <v>41716</v>
      </c>
      <c r="F26" s="137"/>
      <c r="G26" s="137" t="s">
        <v>928</v>
      </c>
      <c r="H26" s="137"/>
      <c r="I26" s="138">
        <v>4024.85</v>
      </c>
      <c r="J26" s="138"/>
    </row>
    <row r="27" spans="1:10" x14ac:dyDescent="0.2">
      <c r="A27" s="19">
        <v>6</v>
      </c>
      <c r="B27" s="137"/>
      <c r="C27" s="137"/>
      <c r="D27" s="19">
        <v>82409</v>
      </c>
      <c r="E27" s="196">
        <v>41754</v>
      </c>
      <c r="F27" s="137"/>
      <c r="G27" s="137" t="s">
        <v>945</v>
      </c>
      <c r="H27" s="137"/>
      <c r="I27" s="138">
        <v>2287.4</v>
      </c>
      <c r="J27" s="138"/>
    </row>
    <row r="28" spans="1:10" x14ac:dyDescent="0.2">
      <c r="A28" s="19"/>
      <c r="B28" s="137"/>
      <c r="C28" s="137"/>
      <c r="D28" s="19">
        <v>82420</v>
      </c>
      <c r="E28" s="137"/>
      <c r="F28" s="137"/>
      <c r="G28" s="137" t="s">
        <v>1071</v>
      </c>
      <c r="H28" s="137"/>
      <c r="I28" s="138">
        <v>280</v>
      </c>
      <c r="J28" s="138"/>
    </row>
    <row r="29" spans="1:10" x14ac:dyDescent="0.2">
      <c r="A29" s="19">
        <v>7</v>
      </c>
      <c r="B29" s="151"/>
      <c r="C29" s="151"/>
      <c r="D29" s="19">
        <v>84458</v>
      </c>
      <c r="E29" s="196">
        <v>43192</v>
      </c>
      <c r="F29" s="137"/>
      <c r="G29" s="137" t="s">
        <v>1109</v>
      </c>
      <c r="H29" s="137"/>
      <c r="I29" s="138">
        <v>2238.19</v>
      </c>
      <c r="J29" s="138"/>
    </row>
    <row r="30" spans="1:10" x14ac:dyDescent="0.2">
      <c r="A30" s="19"/>
      <c r="B30" s="137">
        <v>440229</v>
      </c>
      <c r="C30" s="137"/>
      <c r="D30" s="19">
        <v>84459</v>
      </c>
      <c r="E30" s="196">
        <v>42732</v>
      </c>
      <c r="F30" s="137"/>
      <c r="G30" s="137" t="s">
        <v>1146</v>
      </c>
      <c r="H30" s="137"/>
      <c r="I30" s="138">
        <v>69363.759999999995</v>
      </c>
      <c r="J30" s="138"/>
    </row>
    <row r="31" spans="1:10" x14ac:dyDescent="0.2">
      <c r="A31" s="19">
        <v>9</v>
      </c>
      <c r="B31" s="137"/>
      <c r="C31" s="137"/>
      <c r="D31" s="19">
        <v>84461</v>
      </c>
      <c r="E31" s="137"/>
      <c r="F31" s="137"/>
      <c r="G31" s="137" t="s">
        <v>1110</v>
      </c>
      <c r="H31" s="137"/>
      <c r="I31" s="138">
        <v>2675.2</v>
      </c>
      <c r="J31" s="138"/>
    </row>
    <row r="32" spans="1:10" x14ac:dyDescent="0.2">
      <c r="A32" s="19">
        <v>10</v>
      </c>
      <c r="B32" s="137"/>
      <c r="C32" s="137"/>
      <c r="D32" s="19">
        <v>84463</v>
      </c>
      <c r="E32" s="137"/>
      <c r="F32" s="137"/>
      <c r="G32" s="137" t="s">
        <v>1111</v>
      </c>
      <c r="H32" s="137"/>
      <c r="I32" s="138">
        <v>3446.34</v>
      </c>
      <c r="J32" s="138"/>
    </row>
    <row r="33" spans="1:10" x14ac:dyDescent="0.2">
      <c r="A33" s="19">
        <v>11</v>
      </c>
      <c r="B33" s="137"/>
      <c r="C33" s="137"/>
      <c r="D33" s="19">
        <v>91013</v>
      </c>
      <c r="E33" s="196">
        <v>43265</v>
      </c>
      <c r="F33" s="137"/>
      <c r="G33" s="137" t="s">
        <v>1172</v>
      </c>
      <c r="H33" s="137"/>
      <c r="I33" s="138">
        <v>164692.79999999999</v>
      </c>
      <c r="J33" s="138"/>
    </row>
    <row r="34" spans="1:10" x14ac:dyDescent="0.2">
      <c r="A34" s="19">
        <v>12</v>
      </c>
      <c r="B34" s="137"/>
      <c r="C34" s="137"/>
      <c r="D34" s="19">
        <v>98773</v>
      </c>
      <c r="E34" s="196">
        <v>43559</v>
      </c>
      <c r="F34" s="137"/>
      <c r="G34" s="137" t="s">
        <v>1248</v>
      </c>
      <c r="H34" s="137"/>
      <c r="I34" s="138">
        <v>43191.3</v>
      </c>
      <c r="J34" s="138"/>
    </row>
    <row r="35" spans="1:10" x14ac:dyDescent="0.2">
      <c r="A35" s="19">
        <v>13</v>
      </c>
      <c r="B35" s="137"/>
      <c r="C35" s="137"/>
      <c r="D35" s="19">
        <v>104613</v>
      </c>
      <c r="E35" s="137"/>
      <c r="F35" s="137"/>
      <c r="G35" s="137" t="s">
        <v>1322</v>
      </c>
      <c r="H35" s="137"/>
      <c r="I35" s="138">
        <v>187914</v>
      </c>
      <c r="J35" s="138"/>
    </row>
    <row r="36" spans="1:10" x14ac:dyDescent="0.2">
      <c r="A36" s="19">
        <v>14</v>
      </c>
      <c r="B36" s="137"/>
      <c r="C36" s="137"/>
      <c r="D36" s="19">
        <v>110845</v>
      </c>
      <c r="E36" s="137"/>
      <c r="F36" s="137"/>
      <c r="G36" s="137" t="s">
        <v>1380</v>
      </c>
      <c r="H36" s="137"/>
      <c r="I36" s="138">
        <v>70365</v>
      </c>
      <c r="J36" s="138"/>
    </row>
    <row r="37" spans="1:10" x14ac:dyDescent="0.2">
      <c r="A37" s="9">
        <v>15</v>
      </c>
      <c r="B37" s="128"/>
      <c r="C37" s="128"/>
      <c r="D37" s="9">
        <v>110848</v>
      </c>
      <c r="E37" s="128"/>
      <c r="F37" s="128"/>
      <c r="G37" s="128"/>
      <c r="H37" s="128"/>
      <c r="I37" s="136"/>
      <c r="J37" s="136"/>
    </row>
    <row r="38" spans="1:10" x14ac:dyDescent="0.2">
      <c r="A38" s="9"/>
      <c r="B38" s="128"/>
      <c r="C38" s="128"/>
      <c r="D38" s="9"/>
      <c r="E38" s="128"/>
      <c r="F38" s="128"/>
      <c r="G38" s="128"/>
      <c r="H38" s="128"/>
      <c r="I38" s="136"/>
      <c r="J38" s="136"/>
    </row>
    <row r="39" spans="1:10" x14ac:dyDescent="0.2">
      <c r="A39" s="9"/>
      <c r="B39" s="128"/>
      <c r="C39" s="128"/>
      <c r="D39" s="9"/>
      <c r="E39" s="128"/>
      <c r="F39" s="128"/>
      <c r="G39" s="128"/>
      <c r="H39" s="128"/>
      <c r="I39" s="136"/>
      <c r="J39" s="136"/>
    </row>
    <row r="40" spans="1:10" ht="13.5" thickBot="1" x14ac:dyDescent="0.25">
      <c r="A40" s="9"/>
      <c r="B40" s="128"/>
      <c r="C40" s="128"/>
      <c r="D40" s="9"/>
      <c r="E40" s="128"/>
      <c r="F40" s="128"/>
      <c r="G40" s="128"/>
      <c r="H40" s="128"/>
      <c r="I40" s="249"/>
      <c r="J40" s="249"/>
    </row>
    <row r="41" spans="1:10" ht="13.5" thickTop="1" x14ac:dyDescent="0.2">
      <c r="A41" s="13"/>
      <c r="B41" s="13"/>
      <c r="C41" s="13"/>
      <c r="D41" s="13"/>
      <c r="E41" s="13"/>
      <c r="F41" s="13"/>
      <c r="G41" s="13"/>
      <c r="H41" s="13" t="s">
        <v>33</v>
      </c>
      <c r="I41" s="140">
        <f>SUM(I22:J40)</f>
        <v>677145.6399999999</v>
      </c>
      <c r="J41" s="140"/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15" t="s">
        <v>46</v>
      </c>
      <c r="B43" s="16"/>
      <c r="C43" s="16"/>
      <c r="D43" s="16"/>
      <c r="E43" s="16"/>
      <c r="F43" s="16"/>
      <c r="G43" s="16"/>
      <c r="H43" s="16"/>
      <c r="I43" s="149" t="s">
        <v>47</v>
      </c>
      <c r="J43" s="150"/>
    </row>
    <row r="44" spans="1:10" x14ac:dyDescent="0.2">
      <c r="A44" s="144" t="s">
        <v>48</v>
      </c>
      <c r="B44" s="144"/>
      <c r="C44" s="144"/>
      <c r="D44" s="144"/>
      <c r="E44" s="144"/>
      <c r="F44" s="144"/>
      <c r="G44" s="144"/>
      <c r="H44" s="144"/>
      <c r="I44" s="148">
        <f>I17*80%</f>
        <v>565635.70400000014</v>
      </c>
      <c r="J44" s="148"/>
    </row>
    <row r="45" spans="1:10" x14ac:dyDescent="0.2">
      <c r="A45" s="144" t="s">
        <v>49</v>
      </c>
      <c r="B45" s="144"/>
      <c r="C45" s="144"/>
      <c r="D45" s="144"/>
      <c r="E45" s="144"/>
      <c r="F45" s="144"/>
      <c r="G45" s="144"/>
      <c r="H45" s="144"/>
      <c r="I45" s="184">
        <v>146063</v>
      </c>
      <c r="J45" s="184"/>
    </row>
    <row r="46" spans="1:10" ht="13.5" thickBot="1" x14ac:dyDescent="0.25">
      <c r="A46" s="144" t="s">
        <v>50</v>
      </c>
      <c r="B46" s="144"/>
      <c r="C46" s="144"/>
      <c r="D46" s="144"/>
      <c r="E46" s="144"/>
      <c r="F46" s="144"/>
      <c r="G46" s="144"/>
      <c r="H46" s="144"/>
      <c r="I46" s="145">
        <f>I41</f>
        <v>677145.6399999999</v>
      </c>
      <c r="J46" s="145"/>
    </row>
    <row r="47" spans="1:10" ht="13.5" thickTop="1" x14ac:dyDescent="0.2">
      <c r="H47" s="18" t="s">
        <v>33</v>
      </c>
      <c r="I47" s="129">
        <f>I44+I45-I46</f>
        <v>34553.064000000246</v>
      </c>
      <c r="J47" s="130"/>
    </row>
    <row r="49" spans="1:10" ht="15" x14ac:dyDescent="0.25">
      <c r="A49" s="131" t="s">
        <v>51</v>
      </c>
      <c r="B49" s="132"/>
      <c r="C49" s="132"/>
      <c r="D49" s="132"/>
      <c r="E49" s="132"/>
      <c r="F49" s="132"/>
      <c r="G49" s="132"/>
      <c r="H49" s="132"/>
      <c r="I49" s="132"/>
      <c r="J49" s="133"/>
    </row>
    <row r="50" spans="1:10" x14ac:dyDescent="0.2">
      <c r="A50" s="206" t="s">
        <v>902</v>
      </c>
      <c r="B50" s="206"/>
      <c r="C50" s="206"/>
      <c r="D50" s="206"/>
      <c r="E50" s="206"/>
      <c r="F50" s="206"/>
      <c r="G50" s="206"/>
      <c r="H50" s="206"/>
      <c r="I50" s="206"/>
      <c r="J50" s="206"/>
    </row>
    <row r="51" spans="1:10" x14ac:dyDescent="0.2">
      <c r="A51" s="206"/>
      <c r="B51" s="206"/>
      <c r="C51" s="206"/>
      <c r="D51" s="206"/>
      <c r="E51" s="206"/>
      <c r="F51" s="206"/>
      <c r="G51" s="206"/>
      <c r="H51" s="206"/>
      <c r="I51" s="206"/>
      <c r="J51" s="206"/>
    </row>
    <row r="52" spans="1:10" x14ac:dyDescent="0.2">
      <c r="A52" s="206"/>
      <c r="B52" s="206"/>
      <c r="C52" s="206"/>
      <c r="D52" s="206"/>
      <c r="E52" s="206"/>
      <c r="F52" s="206"/>
      <c r="G52" s="206"/>
      <c r="H52" s="206"/>
      <c r="I52" s="206"/>
      <c r="J52" s="206"/>
    </row>
    <row r="53" spans="1:10" x14ac:dyDescent="0.2">
      <c r="A53" s="206"/>
      <c r="B53" s="206"/>
      <c r="C53" s="206"/>
      <c r="D53" s="206"/>
      <c r="E53" s="206"/>
      <c r="F53" s="206"/>
      <c r="G53" s="206"/>
      <c r="H53" s="206"/>
      <c r="I53" s="206"/>
      <c r="J53" s="206"/>
    </row>
    <row r="54" spans="1:10" x14ac:dyDescent="0.2">
      <c r="A54" s="206"/>
      <c r="B54" s="206"/>
      <c r="C54" s="206"/>
      <c r="D54" s="206"/>
      <c r="E54" s="206"/>
      <c r="F54" s="206"/>
      <c r="G54" s="206"/>
      <c r="H54" s="206"/>
      <c r="I54" s="206"/>
      <c r="J54" s="206"/>
    </row>
    <row r="55" spans="1:10" x14ac:dyDescent="0.2">
      <c r="A55" s="206"/>
      <c r="B55" s="206"/>
      <c r="C55" s="206"/>
      <c r="D55" s="206"/>
      <c r="E55" s="206"/>
      <c r="F55" s="206"/>
      <c r="G55" s="206"/>
      <c r="H55" s="206"/>
      <c r="I55" s="206"/>
      <c r="J55" s="206"/>
    </row>
  </sheetData>
  <mergeCells count="136">
    <mergeCell ref="B13:C13"/>
    <mergeCell ref="D13:E13"/>
    <mergeCell ref="G13:H13"/>
    <mergeCell ref="B27:C27"/>
    <mergeCell ref="E27:F27"/>
    <mergeCell ref="G27:H27"/>
    <mergeCell ref="B22:C22"/>
    <mergeCell ref="E22:F22"/>
    <mergeCell ref="B16:C16"/>
    <mergeCell ref="D16:E16"/>
    <mergeCell ref="G16:H16"/>
    <mergeCell ref="B15:C15"/>
    <mergeCell ref="D15:E15"/>
    <mergeCell ref="G15:H15"/>
    <mergeCell ref="G22:H22"/>
    <mergeCell ref="B24:C24"/>
    <mergeCell ref="E24:F24"/>
    <mergeCell ref="G24:H24"/>
    <mergeCell ref="B14:C14"/>
    <mergeCell ref="D14:E14"/>
    <mergeCell ref="G14:H14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B12:C12"/>
    <mergeCell ref="D12:E12"/>
    <mergeCell ref="G12:H12"/>
    <mergeCell ref="B10:C10"/>
    <mergeCell ref="D10:E10"/>
    <mergeCell ref="G10:H10"/>
    <mergeCell ref="B11:C11"/>
    <mergeCell ref="D11:E11"/>
    <mergeCell ref="G11:H11"/>
    <mergeCell ref="I22:J22"/>
    <mergeCell ref="A19:J19"/>
    <mergeCell ref="A20:A21"/>
    <mergeCell ref="B20:C21"/>
    <mergeCell ref="D20:D21"/>
    <mergeCell ref="E20:F21"/>
    <mergeCell ref="G20:H21"/>
    <mergeCell ref="I20:J21"/>
    <mergeCell ref="B23:C23"/>
    <mergeCell ref="E23:F23"/>
    <mergeCell ref="G23:H23"/>
    <mergeCell ref="I23:J23"/>
    <mergeCell ref="I24:J24"/>
    <mergeCell ref="B29:C29"/>
    <mergeCell ref="E29:F29"/>
    <mergeCell ref="G29:H29"/>
    <mergeCell ref="I29:J29"/>
    <mergeCell ref="B28:C28"/>
    <mergeCell ref="E28:F28"/>
    <mergeCell ref="G28:H28"/>
    <mergeCell ref="I28:J28"/>
    <mergeCell ref="I27:J27"/>
    <mergeCell ref="B26:C26"/>
    <mergeCell ref="E26:F26"/>
    <mergeCell ref="G26:H26"/>
    <mergeCell ref="I26:J26"/>
    <mergeCell ref="A50:J55"/>
    <mergeCell ref="A45:H45"/>
    <mergeCell ref="I45:J45"/>
    <mergeCell ref="A46:H46"/>
    <mergeCell ref="I46:J46"/>
    <mergeCell ref="I41:J41"/>
    <mergeCell ref="I43:J43"/>
    <mergeCell ref="A44:H44"/>
    <mergeCell ref="I44:J44"/>
    <mergeCell ref="I47:J47"/>
    <mergeCell ref="A49:J49"/>
    <mergeCell ref="I39:J39"/>
    <mergeCell ref="B25:C25"/>
    <mergeCell ref="E25:F25"/>
    <mergeCell ref="G25:H25"/>
    <mergeCell ref="I25:J25"/>
    <mergeCell ref="B32:C32"/>
    <mergeCell ref="E32:F32"/>
    <mergeCell ref="G32:H32"/>
    <mergeCell ref="I32:J32"/>
    <mergeCell ref="B31:C31"/>
    <mergeCell ref="E31:F31"/>
    <mergeCell ref="I33:J33"/>
    <mergeCell ref="B35:C35"/>
    <mergeCell ref="E35:F35"/>
    <mergeCell ref="G35:H35"/>
    <mergeCell ref="I35:J35"/>
    <mergeCell ref="B34:C34"/>
    <mergeCell ref="I31:J31"/>
    <mergeCell ref="B33:C33"/>
    <mergeCell ref="E33:F33"/>
    <mergeCell ref="B30:C30"/>
    <mergeCell ref="E30:F30"/>
    <mergeCell ref="G30:H30"/>
    <mergeCell ref="I30:J30"/>
    <mergeCell ref="G33:H33"/>
    <mergeCell ref="G31:H31"/>
    <mergeCell ref="B37:C37"/>
    <mergeCell ref="E37:F37"/>
    <mergeCell ref="G37:H37"/>
    <mergeCell ref="B40:C40"/>
    <mergeCell ref="E40:F40"/>
    <mergeCell ref="G40:H40"/>
    <mergeCell ref="I37:J37"/>
    <mergeCell ref="B38:C38"/>
    <mergeCell ref="E38:F38"/>
    <mergeCell ref="G38:H38"/>
    <mergeCell ref="I38:J38"/>
    <mergeCell ref="E34:F34"/>
    <mergeCell ref="G34:H34"/>
    <mergeCell ref="I34:J34"/>
    <mergeCell ref="I36:J36"/>
    <mergeCell ref="B36:C36"/>
    <mergeCell ref="E36:F36"/>
    <mergeCell ref="G36:H36"/>
    <mergeCell ref="I40:J40"/>
    <mergeCell ref="B39:C39"/>
    <mergeCell ref="E39:F39"/>
    <mergeCell ref="G39:H39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56"/>
  <dimension ref="A1:K56"/>
  <sheetViews>
    <sheetView topLeftCell="A28" workbookViewId="0">
      <selection activeCell="I45" sqref="I45:J45"/>
    </sheetView>
  </sheetViews>
  <sheetFormatPr defaultRowHeight="12.75" x14ac:dyDescent="0.2"/>
  <cols>
    <col min="6" max="6" width="12.28515625" customWidth="1"/>
    <col min="8" max="8" width="15" customWidth="1"/>
    <col min="9" max="10" width="12.7109375" bestFit="1" customWidth="1"/>
    <col min="11" max="11" width="11.140625" bestFit="1" customWidth="1"/>
  </cols>
  <sheetData>
    <row r="1" spans="1:11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1" ht="15" x14ac:dyDescent="0.2">
      <c r="A2" s="5" t="s">
        <v>714</v>
      </c>
      <c r="B2" s="6"/>
      <c r="C2" s="6"/>
      <c r="D2" s="6"/>
      <c r="E2" s="6"/>
      <c r="F2" s="6"/>
      <c r="G2" s="6"/>
      <c r="H2" s="6"/>
      <c r="I2" s="6"/>
      <c r="J2" s="7" t="s">
        <v>715</v>
      </c>
    </row>
    <row r="3" spans="1:11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1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4">
        <v>0.8</v>
      </c>
    </row>
    <row r="5" spans="1:11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1" x14ac:dyDescent="0.2">
      <c r="A6" s="9">
        <v>1</v>
      </c>
      <c r="B6" s="128">
        <v>7932316</v>
      </c>
      <c r="C6" s="128"/>
      <c r="D6" s="128">
        <v>7932367</v>
      </c>
      <c r="E6" s="128"/>
      <c r="F6" s="12">
        <v>35131</v>
      </c>
      <c r="G6" s="169" t="s">
        <v>716</v>
      </c>
      <c r="H6" s="169"/>
      <c r="I6" s="69">
        <v>85467.3</v>
      </c>
      <c r="J6" s="64">
        <f t="shared" ref="J6:J13" si="0">I6*0.8</f>
        <v>68373.840000000011</v>
      </c>
    </row>
    <row r="7" spans="1:11" x14ac:dyDescent="0.2">
      <c r="A7" s="9">
        <v>2</v>
      </c>
      <c r="B7" s="128">
        <v>7934009</v>
      </c>
      <c r="C7" s="128"/>
      <c r="D7" s="128"/>
      <c r="E7" s="128"/>
      <c r="F7" s="12">
        <v>35625</v>
      </c>
      <c r="G7" s="169" t="s">
        <v>717</v>
      </c>
      <c r="H7" s="169"/>
      <c r="I7" s="69">
        <v>112245.89</v>
      </c>
      <c r="J7" s="64">
        <f t="shared" si="0"/>
        <v>89796.712</v>
      </c>
    </row>
    <row r="8" spans="1:11" x14ac:dyDescent="0.2">
      <c r="A8" s="9">
        <v>3</v>
      </c>
      <c r="B8" s="128">
        <v>7931352</v>
      </c>
      <c r="C8" s="128"/>
      <c r="D8" s="128"/>
      <c r="E8" s="128"/>
      <c r="F8" s="12">
        <v>35625</v>
      </c>
      <c r="G8" s="169" t="s">
        <v>718</v>
      </c>
      <c r="H8" s="169"/>
      <c r="I8" s="69">
        <v>151902.56</v>
      </c>
      <c r="J8" s="64">
        <f t="shared" si="0"/>
        <v>121522.04800000001</v>
      </c>
    </row>
    <row r="9" spans="1:11" x14ac:dyDescent="0.2">
      <c r="A9" s="9">
        <v>4</v>
      </c>
      <c r="B9" s="128">
        <v>7930135</v>
      </c>
      <c r="C9" s="128"/>
      <c r="D9" s="128"/>
      <c r="E9" s="128"/>
      <c r="F9" s="12">
        <v>35625</v>
      </c>
      <c r="G9" s="169" t="s">
        <v>719</v>
      </c>
      <c r="H9" s="169"/>
      <c r="I9" s="69">
        <v>206959.28</v>
      </c>
      <c r="J9" s="64">
        <f t="shared" si="0"/>
        <v>165567.424</v>
      </c>
    </row>
    <row r="10" spans="1:11" x14ac:dyDescent="0.2">
      <c r="A10" s="9">
        <v>5</v>
      </c>
      <c r="B10" s="128">
        <v>7931123</v>
      </c>
      <c r="C10" s="128"/>
      <c r="D10" s="128">
        <v>7931182</v>
      </c>
      <c r="E10" s="128"/>
      <c r="F10" s="12">
        <v>35856</v>
      </c>
      <c r="G10" s="169" t="s">
        <v>720</v>
      </c>
      <c r="H10" s="169"/>
      <c r="I10" s="69">
        <v>185457.5</v>
      </c>
      <c r="J10" s="64">
        <f t="shared" si="0"/>
        <v>148366</v>
      </c>
      <c r="K10" s="107"/>
    </row>
    <row r="11" spans="1:11" x14ac:dyDescent="0.2">
      <c r="A11" s="9">
        <v>6</v>
      </c>
      <c r="B11" s="128">
        <v>7931808</v>
      </c>
      <c r="C11" s="128"/>
      <c r="D11" s="128">
        <v>7930000</v>
      </c>
      <c r="E11" s="128"/>
      <c r="F11" s="12">
        <v>42100</v>
      </c>
      <c r="G11" s="169"/>
      <c r="H11" s="169"/>
      <c r="I11" s="69">
        <v>136212.73000000001</v>
      </c>
      <c r="J11" s="64">
        <f t="shared" si="0"/>
        <v>108970.18400000001</v>
      </c>
    </row>
    <row r="12" spans="1:11" x14ac:dyDescent="0.2">
      <c r="A12" s="9">
        <v>7</v>
      </c>
      <c r="B12" s="128">
        <v>7937350</v>
      </c>
      <c r="C12" s="128"/>
      <c r="D12" s="128">
        <v>7930002</v>
      </c>
      <c r="E12" s="128"/>
      <c r="F12" s="12">
        <v>42401</v>
      </c>
      <c r="G12" s="169"/>
      <c r="H12" s="169"/>
      <c r="I12" s="69">
        <v>185031.33</v>
      </c>
      <c r="J12" s="64">
        <f t="shared" si="0"/>
        <v>148025.06399999998</v>
      </c>
    </row>
    <row r="13" spans="1:11" x14ac:dyDescent="0.2">
      <c r="A13" s="9">
        <v>8</v>
      </c>
      <c r="B13" s="128">
        <v>7933312</v>
      </c>
      <c r="C13" s="128"/>
      <c r="D13" s="128">
        <v>7933313</v>
      </c>
      <c r="E13" s="128"/>
      <c r="F13" s="12">
        <v>42912</v>
      </c>
      <c r="G13" s="169"/>
      <c r="H13" s="169"/>
      <c r="I13" s="69">
        <v>205005.23</v>
      </c>
      <c r="J13" s="64">
        <f t="shared" si="0"/>
        <v>164004.18400000001</v>
      </c>
    </row>
    <row r="14" spans="1:11" x14ac:dyDescent="0.2">
      <c r="A14" s="9"/>
      <c r="B14" s="128"/>
      <c r="C14" s="128"/>
      <c r="D14" s="128"/>
      <c r="E14" s="128"/>
      <c r="F14" s="12"/>
      <c r="G14" s="169"/>
      <c r="H14" s="169"/>
      <c r="I14" s="69"/>
      <c r="J14" s="64"/>
    </row>
    <row r="15" spans="1:11" x14ac:dyDescent="0.2">
      <c r="A15" s="9"/>
      <c r="B15" s="128"/>
      <c r="C15" s="128"/>
      <c r="D15" s="128"/>
      <c r="E15" s="128"/>
      <c r="F15" s="12"/>
      <c r="G15" s="169"/>
      <c r="H15" s="169"/>
      <c r="I15" s="69"/>
      <c r="J15" s="64"/>
    </row>
    <row r="16" spans="1:11" ht="13.5" thickBot="1" x14ac:dyDescent="0.25">
      <c r="A16" s="9"/>
      <c r="B16" s="128"/>
      <c r="C16" s="128"/>
      <c r="D16" s="128"/>
      <c r="E16" s="128"/>
      <c r="F16" s="12"/>
      <c r="G16" s="169"/>
      <c r="H16" s="169"/>
      <c r="I16" s="71"/>
      <c r="J16" s="65"/>
    </row>
    <row r="17" spans="1:10" ht="13.5" thickTop="1" x14ac:dyDescent="0.2">
      <c r="A17" s="13"/>
      <c r="B17" s="13"/>
      <c r="C17" s="13"/>
      <c r="D17" s="13"/>
      <c r="E17" s="13"/>
      <c r="F17" s="13"/>
      <c r="G17" s="13"/>
      <c r="H17" s="13" t="s">
        <v>33</v>
      </c>
      <c r="I17" s="66">
        <f>SUM(I6:I16)</f>
        <v>1268281.82</v>
      </c>
      <c r="J17" s="66">
        <f>SUM(J6:J16)</f>
        <v>1014625.456</v>
      </c>
    </row>
    <row r="18" spans="1:1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" x14ac:dyDescent="0.25">
      <c r="A19" s="131" t="s">
        <v>34</v>
      </c>
      <c r="B19" s="132"/>
      <c r="C19" s="132"/>
      <c r="D19" s="132"/>
      <c r="E19" s="132"/>
      <c r="F19" s="132"/>
      <c r="G19" s="132"/>
      <c r="H19" s="132"/>
      <c r="I19" s="132"/>
      <c r="J19" s="133"/>
    </row>
    <row r="20" spans="1:10" x14ac:dyDescent="0.2">
      <c r="A20" s="169" t="s">
        <v>23</v>
      </c>
      <c r="B20" s="169" t="s">
        <v>35</v>
      </c>
      <c r="C20" s="169"/>
      <c r="D20" s="169" t="s">
        <v>36</v>
      </c>
      <c r="E20" s="169" t="s">
        <v>37</v>
      </c>
      <c r="F20" s="169"/>
      <c r="G20" s="169" t="s">
        <v>38</v>
      </c>
      <c r="H20" s="169"/>
      <c r="I20" s="169" t="s">
        <v>39</v>
      </c>
      <c r="J20" s="169"/>
    </row>
    <row r="21" spans="1:10" x14ac:dyDescent="0.2">
      <c r="A21" s="169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x14ac:dyDescent="0.2">
      <c r="A22" s="9">
        <v>1</v>
      </c>
      <c r="B22" s="128">
        <v>112330</v>
      </c>
      <c r="C22" s="128"/>
      <c r="D22" s="9">
        <v>12528</v>
      </c>
      <c r="E22" s="182">
        <v>36342</v>
      </c>
      <c r="F22" s="128"/>
      <c r="G22" s="183" t="s">
        <v>721</v>
      </c>
      <c r="H22" s="128"/>
      <c r="I22" s="136">
        <v>262165</v>
      </c>
      <c r="J22" s="136"/>
    </row>
    <row r="23" spans="1:10" x14ac:dyDescent="0.2">
      <c r="A23" s="9">
        <v>2</v>
      </c>
      <c r="B23" s="128">
        <v>515541</v>
      </c>
      <c r="C23" s="128"/>
      <c r="D23" s="9">
        <v>75584</v>
      </c>
      <c r="E23" s="128" t="s">
        <v>648</v>
      </c>
      <c r="F23" s="128"/>
      <c r="G23" s="128" t="s">
        <v>722</v>
      </c>
      <c r="H23" s="128"/>
      <c r="I23" s="136">
        <v>9897</v>
      </c>
      <c r="J23" s="136"/>
    </row>
    <row r="24" spans="1:10" x14ac:dyDescent="0.2">
      <c r="A24" s="9">
        <v>3</v>
      </c>
      <c r="B24" s="128">
        <v>515543</v>
      </c>
      <c r="C24" s="128"/>
      <c r="D24" s="9">
        <v>75587</v>
      </c>
      <c r="E24" s="128" t="s">
        <v>648</v>
      </c>
      <c r="F24" s="128"/>
      <c r="G24" s="128" t="s">
        <v>723</v>
      </c>
      <c r="H24" s="128"/>
      <c r="I24" s="136">
        <v>7253</v>
      </c>
      <c r="J24" s="136"/>
    </row>
    <row r="25" spans="1:10" x14ac:dyDescent="0.2">
      <c r="A25" s="9">
        <v>4</v>
      </c>
      <c r="B25" s="128">
        <v>516351</v>
      </c>
      <c r="C25" s="128"/>
      <c r="D25" s="9">
        <v>84869</v>
      </c>
      <c r="E25" s="182">
        <v>40563</v>
      </c>
      <c r="F25" s="128"/>
      <c r="G25" s="128" t="s">
        <v>725</v>
      </c>
      <c r="H25" s="128"/>
      <c r="I25" s="136">
        <v>79056.570000000007</v>
      </c>
      <c r="J25" s="136"/>
    </row>
    <row r="26" spans="1:10" x14ac:dyDescent="0.2">
      <c r="A26" s="19">
        <v>6</v>
      </c>
      <c r="B26" s="137"/>
      <c r="C26" s="137"/>
      <c r="D26" s="19">
        <v>79242</v>
      </c>
      <c r="E26" s="196">
        <v>41815</v>
      </c>
      <c r="F26" s="137"/>
      <c r="G26" s="137" t="s">
        <v>724</v>
      </c>
      <c r="H26" s="137"/>
      <c r="I26" s="138">
        <v>60773.46</v>
      </c>
      <c r="J26" s="138"/>
    </row>
    <row r="27" spans="1:10" x14ac:dyDescent="0.2">
      <c r="A27" s="9"/>
      <c r="B27" s="128"/>
      <c r="C27" s="128"/>
      <c r="D27" s="9">
        <v>87270</v>
      </c>
      <c r="E27" s="128" t="s">
        <v>864</v>
      </c>
      <c r="F27" s="128"/>
      <c r="G27" s="128"/>
      <c r="H27" s="128"/>
      <c r="I27" s="136">
        <v>15123.2</v>
      </c>
      <c r="J27" s="136"/>
    </row>
    <row r="28" spans="1:10" x14ac:dyDescent="0.2">
      <c r="A28" s="19"/>
      <c r="B28" s="137"/>
      <c r="C28" s="137"/>
      <c r="D28" s="19">
        <v>88870</v>
      </c>
      <c r="E28" s="137" t="s">
        <v>912</v>
      </c>
      <c r="F28" s="137"/>
      <c r="G28" s="137"/>
      <c r="H28" s="137"/>
      <c r="I28" s="138">
        <v>5469.6</v>
      </c>
      <c r="J28" s="138"/>
    </row>
    <row r="29" spans="1:10" x14ac:dyDescent="0.2">
      <c r="A29" s="19"/>
      <c r="B29" s="137"/>
      <c r="C29" s="137"/>
      <c r="D29" s="19">
        <v>75580</v>
      </c>
      <c r="E29" s="196">
        <v>41830</v>
      </c>
      <c r="F29" s="137"/>
      <c r="G29" s="137" t="s">
        <v>917</v>
      </c>
      <c r="H29" s="137"/>
      <c r="I29" s="138">
        <v>20037.990000000002</v>
      </c>
      <c r="J29" s="138"/>
    </row>
    <row r="30" spans="1:10" x14ac:dyDescent="0.2">
      <c r="A30" s="19"/>
      <c r="B30" s="137"/>
      <c r="C30" s="137"/>
      <c r="D30" s="19">
        <v>92742</v>
      </c>
      <c r="E30" s="137" t="s">
        <v>1009</v>
      </c>
      <c r="F30" s="137"/>
      <c r="G30" s="137"/>
      <c r="H30" s="137"/>
      <c r="I30" s="138">
        <v>899.6</v>
      </c>
      <c r="J30" s="138"/>
    </row>
    <row r="31" spans="1:10" x14ac:dyDescent="0.2">
      <c r="A31" s="19"/>
      <c r="B31" s="137"/>
      <c r="C31" s="137"/>
      <c r="D31" s="19">
        <v>89473</v>
      </c>
      <c r="E31" s="196">
        <v>43207</v>
      </c>
      <c r="F31" s="137"/>
      <c r="G31" s="137" t="s">
        <v>1127</v>
      </c>
      <c r="H31" s="137"/>
      <c r="I31" s="138">
        <v>64894.720000000001</v>
      </c>
      <c r="J31" s="138"/>
    </row>
    <row r="32" spans="1:10" x14ac:dyDescent="0.2">
      <c r="A32" s="9"/>
      <c r="B32" s="128"/>
      <c r="C32" s="128"/>
      <c r="D32" s="9">
        <v>107134</v>
      </c>
      <c r="E32" s="128"/>
      <c r="F32" s="128"/>
      <c r="G32" s="128" t="s">
        <v>1203</v>
      </c>
      <c r="H32" s="128"/>
      <c r="I32" s="136">
        <v>241191.45</v>
      </c>
      <c r="J32" s="136"/>
    </row>
    <row r="33" spans="1:10" x14ac:dyDescent="0.2">
      <c r="A33" s="58"/>
      <c r="B33" s="151"/>
      <c r="C33" s="151"/>
      <c r="D33" s="58">
        <v>114260</v>
      </c>
      <c r="E33" s="151"/>
      <c r="F33" s="151"/>
      <c r="G33" s="151" t="s">
        <v>1562</v>
      </c>
      <c r="H33" s="151"/>
      <c r="I33" s="152">
        <v>99000</v>
      </c>
      <c r="J33" s="152"/>
    </row>
    <row r="34" spans="1:10" x14ac:dyDescent="0.2">
      <c r="A34" s="9"/>
      <c r="B34" s="128"/>
      <c r="C34" s="128"/>
      <c r="D34" s="9"/>
      <c r="E34" s="128"/>
      <c r="F34" s="128"/>
      <c r="G34" s="128"/>
      <c r="H34" s="128"/>
      <c r="I34" s="136"/>
      <c r="J34" s="136"/>
    </row>
    <row r="35" spans="1:10" ht="13.5" thickBot="1" x14ac:dyDescent="0.25">
      <c r="A35" s="9"/>
      <c r="B35" s="128"/>
      <c r="C35" s="128"/>
      <c r="D35" s="9"/>
      <c r="E35" s="128"/>
      <c r="F35" s="128"/>
      <c r="G35" s="128"/>
      <c r="H35" s="128"/>
      <c r="I35" s="249"/>
      <c r="J35" s="249"/>
    </row>
    <row r="36" spans="1:10" ht="13.5" thickTop="1" x14ac:dyDescent="0.2">
      <c r="A36" s="13"/>
      <c r="B36" s="13"/>
      <c r="C36" s="13"/>
      <c r="D36" s="13"/>
      <c r="E36" s="13"/>
      <c r="F36" s="13"/>
      <c r="G36" s="13"/>
      <c r="H36" s="13" t="s">
        <v>33</v>
      </c>
      <c r="I36" s="140">
        <f>SUM(I22:J35)</f>
        <v>865761.59000000008</v>
      </c>
      <c r="J36" s="140"/>
    </row>
    <row r="37" spans="1:1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149" t="s">
        <v>47</v>
      </c>
      <c r="J38" s="150"/>
    </row>
    <row r="39" spans="1:10" x14ac:dyDescent="0.2">
      <c r="A39" s="144" t="s">
        <v>48</v>
      </c>
      <c r="B39" s="144"/>
      <c r="C39" s="144"/>
      <c r="D39" s="144"/>
      <c r="E39" s="144"/>
      <c r="F39" s="144"/>
      <c r="G39" s="144"/>
      <c r="H39" s="144"/>
      <c r="I39" s="148">
        <f>I17*80%</f>
        <v>1014625.4560000001</v>
      </c>
      <c r="J39" s="148"/>
    </row>
    <row r="40" spans="1:10" x14ac:dyDescent="0.2">
      <c r="A40" s="144" t="s">
        <v>49</v>
      </c>
      <c r="B40" s="144"/>
      <c r="C40" s="144"/>
      <c r="D40" s="144"/>
      <c r="E40" s="144"/>
      <c r="F40" s="144"/>
      <c r="G40" s="144"/>
      <c r="H40" s="144"/>
      <c r="I40" s="184">
        <f>1-27444</f>
        <v>-27443</v>
      </c>
      <c r="J40" s="184"/>
    </row>
    <row r="41" spans="1:10" x14ac:dyDescent="0.2">
      <c r="A41" s="144" t="s">
        <v>49</v>
      </c>
      <c r="B41" s="144"/>
      <c r="C41" s="144"/>
      <c r="D41" s="144"/>
      <c r="E41" s="144"/>
      <c r="F41" s="144"/>
      <c r="G41" s="144"/>
      <c r="H41" s="144"/>
      <c r="I41" s="184">
        <v>-17150</v>
      </c>
      <c r="J41" s="184"/>
    </row>
    <row r="42" spans="1:10" x14ac:dyDescent="0.2">
      <c r="A42" s="144" t="s">
        <v>916</v>
      </c>
      <c r="B42" s="144"/>
      <c r="C42" s="144"/>
      <c r="D42" s="144"/>
      <c r="E42" s="144"/>
      <c r="F42" s="144"/>
      <c r="G42" s="144"/>
      <c r="H42" s="144"/>
      <c r="I42" s="184">
        <v>13217.6</v>
      </c>
      <c r="J42" s="184"/>
    </row>
    <row r="43" spans="1:10" x14ac:dyDescent="0.2">
      <c r="A43" s="258" t="s">
        <v>1125</v>
      </c>
      <c r="B43" s="144"/>
      <c r="C43" s="144"/>
      <c r="D43" s="144"/>
      <c r="E43" s="144"/>
      <c r="F43" s="144"/>
      <c r="G43" s="144"/>
      <c r="H43" s="144"/>
      <c r="I43" s="184">
        <v>190000</v>
      </c>
      <c r="J43" s="184"/>
    </row>
    <row r="44" spans="1:10" x14ac:dyDescent="0.2">
      <c r="A44" s="258" t="s">
        <v>1139</v>
      </c>
      <c r="B44" s="144"/>
      <c r="C44" s="144"/>
      <c r="D44" s="144"/>
      <c r="E44" s="144"/>
      <c r="F44" s="144"/>
      <c r="G44" s="144"/>
      <c r="H44" s="144"/>
      <c r="I44" s="184">
        <v>40000</v>
      </c>
      <c r="J44" s="184"/>
    </row>
    <row r="45" spans="1:10" x14ac:dyDescent="0.2">
      <c r="A45" s="134" t="s">
        <v>1140</v>
      </c>
      <c r="B45" s="134"/>
      <c r="C45" s="134"/>
      <c r="D45" s="134"/>
      <c r="E45" s="134"/>
      <c r="F45" s="134"/>
      <c r="G45" s="134"/>
      <c r="H45" s="134"/>
      <c r="I45" s="135">
        <v>-88275.4</v>
      </c>
      <c r="J45" s="135"/>
    </row>
    <row r="46" spans="1:10" x14ac:dyDescent="0.2">
      <c r="A46" s="231" t="s">
        <v>1141</v>
      </c>
      <c r="B46" s="144"/>
      <c r="C46" s="144"/>
      <c r="D46" s="144"/>
      <c r="E46" s="144"/>
      <c r="F46" s="144"/>
      <c r="G46" s="144"/>
      <c r="H46" s="144"/>
      <c r="I46" s="184">
        <v>-40000</v>
      </c>
      <c r="J46" s="184"/>
    </row>
    <row r="47" spans="1:10" ht="13.5" thickBot="1" x14ac:dyDescent="0.25">
      <c r="A47" s="144" t="s">
        <v>50</v>
      </c>
      <c r="B47" s="144"/>
      <c r="C47" s="144"/>
      <c r="D47" s="144"/>
      <c r="E47" s="144"/>
      <c r="F47" s="144"/>
      <c r="G47" s="144"/>
      <c r="H47" s="144"/>
      <c r="I47" s="145">
        <f>I36</f>
        <v>865761.59000000008</v>
      </c>
      <c r="J47" s="145"/>
    </row>
    <row r="48" spans="1:10" ht="13.5" thickTop="1" x14ac:dyDescent="0.2">
      <c r="H48" s="18" t="s">
        <v>33</v>
      </c>
      <c r="I48" s="129">
        <f>I39+I40+I41+I42+I43+I44+I45+I46-I47</f>
        <v>219213.06600000011</v>
      </c>
      <c r="J48" s="130"/>
    </row>
    <row r="50" spans="1:10" ht="15" x14ac:dyDescent="0.25">
      <c r="A50" s="131" t="s">
        <v>51</v>
      </c>
      <c r="B50" s="132"/>
      <c r="C50" s="132"/>
      <c r="D50" s="132"/>
      <c r="E50" s="132"/>
      <c r="F50" s="132"/>
      <c r="G50" s="132"/>
      <c r="H50" s="132"/>
      <c r="I50" s="132"/>
      <c r="J50" s="133"/>
    </row>
    <row r="51" spans="1:10" x14ac:dyDescent="0.2">
      <c r="A51" s="139" t="s">
        <v>905</v>
      </c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0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  <row r="53" spans="1:10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</row>
    <row r="54" spans="1:10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</row>
    <row r="55" spans="1:10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</row>
    <row r="56" spans="1:10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</row>
  </sheetData>
  <mergeCells count="128">
    <mergeCell ref="A41:H41"/>
    <mergeCell ref="I41:J41"/>
    <mergeCell ref="B34:C34"/>
    <mergeCell ref="B16:C16"/>
    <mergeCell ref="D16:E16"/>
    <mergeCell ref="A45:H45"/>
    <mergeCell ref="I45:J45"/>
    <mergeCell ref="G30:H30"/>
    <mergeCell ref="I30:J30"/>
    <mergeCell ref="I36:J36"/>
    <mergeCell ref="I38:J38"/>
    <mergeCell ref="A44:H44"/>
    <mergeCell ref="I44:J44"/>
    <mergeCell ref="G23:H23"/>
    <mergeCell ref="I23:J23"/>
    <mergeCell ref="G25:H25"/>
    <mergeCell ref="I25:J25"/>
    <mergeCell ref="B29:C29"/>
    <mergeCell ref="E20:F21"/>
    <mergeCell ref="G20:H21"/>
    <mergeCell ref="I20:J21"/>
    <mergeCell ref="B22:C22"/>
    <mergeCell ref="E22:F22"/>
    <mergeCell ref="E24:F24"/>
    <mergeCell ref="G24:H24"/>
    <mergeCell ref="I24:J24"/>
    <mergeCell ref="I26:J26"/>
    <mergeCell ref="B30:C30"/>
    <mergeCell ref="B25:C25"/>
    <mergeCell ref="E25:F25"/>
    <mergeCell ref="B26:C26"/>
    <mergeCell ref="E26:F26"/>
    <mergeCell ref="G26:H26"/>
    <mergeCell ref="A50:J50"/>
    <mergeCell ref="B31:C31"/>
    <mergeCell ref="E31:F31"/>
    <mergeCell ref="G31:H31"/>
    <mergeCell ref="I31:J31"/>
    <mergeCell ref="A51:J56"/>
    <mergeCell ref="A40:H40"/>
    <mergeCell ref="I40:J40"/>
    <mergeCell ref="A47:H47"/>
    <mergeCell ref="I47:J47"/>
    <mergeCell ref="G35:H35"/>
    <mergeCell ref="I35:J35"/>
    <mergeCell ref="I32:J32"/>
    <mergeCell ref="A39:H39"/>
    <mergeCell ref="I39:J39"/>
    <mergeCell ref="G34:H34"/>
    <mergeCell ref="I48:J48"/>
    <mergeCell ref="A42:H42"/>
    <mergeCell ref="A43:H43"/>
    <mergeCell ref="I43:J43"/>
    <mergeCell ref="A46:H46"/>
    <mergeCell ref="I46:J46"/>
    <mergeCell ref="I42:J42"/>
    <mergeCell ref="B32:C32"/>
    <mergeCell ref="G10:H10"/>
    <mergeCell ref="B7:C7"/>
    <mergeCell ref="D7:E7"/>
    <mergeCell ref="G7:H7"/>
    <mergeCell ref="B8:C8"/>
    <mergeCell ref="D8:E8"/>
    <mergeCell ref="G8:H8"/>
    <mergeCell ref="G22:H22"/>
    <mergeCell ref="I22:J22"/>
    <mergeCell ref="B11:C11"/>
    <mergeCell ref="D11:E11"/>
    <mergeCell ref="G11:H11"/>
    <mergeCell ref="B15:C15"/>
    <mergeCell ref="D15:E15"/>
    <mergeCell ref="G15:H15"/>
    <mergeCell ref="B12:C12"/>
    <mergeCell ref="D12:E12"/>
    <mergeCell ref="B13:C13"/>
    <mergeCell ref="D13:E13"/>
    <mergeCell ref="G12:H12"/>
    <mergeCell ref="B14:C14"/>
    <mergeCell ref="D14:E14"/>
    <mergeCell ref="G14:H14"/>
    <mergeCell ref="B35:C35"/>
    <mergeCell ref="E35:F35"/>
    <mergeCell ref="E30:F30"/>
    <mergeCell ref="E32:F32"/>
    <mergeCell ref="G32:H32"/>
    <mergeCell ref="I34:J34"/>
    <mergeCell ref="E34:F34"/>
    <mergeCell ref="G13:H13"/>
    <mergeCell ref="B28:C28"/>
    <mergeCell ref="E28:F28"/>
    <mergeCell ref="G28:H28"/>
    <mergeCell ref="G16:H16"/>
    <mergeCell ref="A19:J19"/>
    <mergeCell ref="A20:A21"/>
    <mergeCell ref="B20:C21"/>
    <mergeCell ref="I28:J28"/>
    <mergeCell ref="B27:C27"/>
    <mergeCell ref="E27:F27"/>
    <mergeCell ref="G27:H27"/>
    <mergeCell ref="I27:J27"/>
    <mergeCell ref="D20:D21"/>
    <mergeCell ref="B23:C23"/>
    <mergeCell ref="E23:F23"/>
    <mergeCell ref="B24:C24"/>
    <mergeCell ref="B33:C33"/>
    <mergeCell ref="E33:F33"/>
    <mergeCell ref="G33:H33"/>
    <mergeCell ref="I33:J33"/>
    <mergeCell ref="A3:J3"/>
    <mergeCell ref="A4:A5"/>
    <mergeCell ref="B4:E4"/>
    <mergeCell ref="F4:F5"/>
    <mergeCell ref="G4:H5"/>
    <mergeCell ref="E29:F29"/>
    <mergeCell ref="G29:H29"/>
    <mergeCell ref="I29:J29"/>
    <mergeCell ref="B5:C5"/>
    <mergeCell ref="D5:E5"/>
    <mergeCell ref="B6:C6"/>
    <mergeCell ref="D6:E6"/>
    <mergeCell ref="G6:H6"/>
    <mergeCell ref="I4:I5"/>
    <mergeCell ref="J4:J5"/>
    <mergeCell ref="B9:C9"/>
    <mergeCell ref="D9:E9"/>
    <mergeCell ref="G9:H9"/>
    <mergeCell ref="B10:C10"/>
    <mergeCell ref="D10:E10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J43"/>
  <sheetViews>
    <sheetView topLeftCell="A16" workbookViewId="0">
      <selection activeCell="I27" sqref="I27:J27"/>
    </sheetView>
  </sheetViews>
  <sheetFormatPr defaultRowHeight="12.75" x14ac:dyDescent="0.2"/>
  <cols>
    <col min="9" max="9" width="13.5703125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1097</v>
      </c>
      <c r="B2" s="6"/>
      <c r="C2" s="6"/>
      <c r="D2" s="6"/>
      <c r="E2" s="6"/>
      <c r="F2" s="6"/>
      <c r="G2" s="6"/>
      <c r="H2" s="6"/>
      <c r="I2" s="6"/>
      <c r="J2" s="59" t="s">
        <v>341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8034249</v>
      </c>
      <c r="C6" s="128"/>
      <c r="D6" s="128">
        <v>8034206</v>
      </c>
      <c r="E6" s="128"/>
      <c r="F6" s="12">
        <v>41724</v>
      </c>
      <c r="G6" s="169"/>
      <c r="H6" s="169"/>
      <c r="I6" s="32">
        <v>374761</v>
      </c>
      <c r="J6" s="32">
        <f>I6*0.8</f>
        <v>299808.8</v>
      </c>
    </row>
    <row r="7" spans="1:10" x14ac:dyDescent="0.2">
      <c r="A7" s="9">
        <v>2</v>
      </c>
      <c r="B7" s="128">
        <v>8037612</v>
      </c>
      <c r="C7" s="128"/>
      <c r="D7" s="128">
        <v>8037663</v>
      </c>
      <c r="E7" s="128"/>
      <c r="F7" s="12">
        <v>43132</v>
      </c>
      <c r="G7" s="169"/>
      <c r="H7" s="169"/>
      <c r="I7" s="32">
        <v>756779.85</v>
      </c>
      <c r="J7" s="32">
        <f>I7*0.8</f>
        <v>605423.88</v>
      </c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2"/>
      <c r="J8" s="32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9"/>
      <c r="B14" s="128"/>
      <c r="C14" s="128"/>
      <c r="D14" s="128"/>
      <c r="E14" s="128"/>
      <c r="F14" s="12"/>
      <c r="G14" s="169"/>
      <c r="H14" s="169"/>
      <c r="I14" s="32"/>
      <c r="J14" s="32"/>
    </row>
    <row r="15" spans="1:10" x14ac:dyDescent="0.2">
      <c r="A15" s="9">
        <v>10</v>
      </c>
      <c r="B15" s="128"/>
      <c r="C15" s="128"/>
      <c r="D15" s="128"/>
      <c r="E15" s="128"/>
      <c r="F15" s="12"/>
      <c r="G15" s="169"/>
      <c r="H15" s="169"/>
      <c r="I15" s="32"/>
      <c r="J15" s="32"/>
    </row>
    <row r="16" spans="1:10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33">
        <f>SUM(I6:I15)</f>
        <v>1131540.8500000001</v>
      </c>
      <c r="J16" s="33">
        <f>SUM(J6:J15)</f>
        <v>905232.67999999993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1" t="s">
        <v>34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x14ac:dyDescent="0.2">
      <c r="A19" s="169" t="s">
        <v>23</v>
      </c>
      <c r="B19" s="169" t="s">
        <v>35</v>
      </c>
      <c r="C19" s="169"/>
      <c r="D19" s="169" t="s">
        <v>36</v>
      </c>
      <c r="E19" s="169" t="s">
        <v>37</v>
      </c>
      <c r="F19" s="169"/>
      <c r="G19" s="169" t="s">
        <v>38</v>
      </c>
      <c r="H19" s="169"/>
      <c r="I19" s="169" t="s">
        <v>39</v>
      </c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9">
        <v>1</v>
      </c>
      <c r="B21" s="128"/>
      <c r="C21" s="128"/>
      <c r="D21" s="9">
        <v>83340</v>
      </c>
      <c r="E21" s="182">
        <v>43066</v>
      </c>
      <c r="F21" s="128"/>
      <c r="G21" s="227" t="s">
        <v>1098</v>
      </c>
      <c r="H21" s="228"/>
      <c r="I21" s="136">
        <v>33427.480000000003</v>
      </c>
      <c r="J21" s="136"/>
    </row>
    <row r="22" spans="1:10" x14ac:dyDescent="0.2">
      <c r="A22" s="19">
        <v>2</v>
      </c>
      <c r="B22" s="137"/>
      <c r="C22" s="137"/>
      <c r="D22" s="19">
        <v>99905</v>
      </c>
      <c r="E22" s="196">
        <v>43600</v>
      </c>
      <c r="F22" s="137"/>
      <c r="G22" s="137" t="s">
        <v>1103</v>
      </c>
      <c r="H22" s="137"/>
      <c r="I22" s="138">
        <v>124709.78</v>
      </c>
      <c r="J22" s="138"/>
    </row>
    <row r="23" spans="1:10" x14ac:dyDescent="0.2">
      <c r="A23" s="19">
        <v>3</v>
      </c>
      <c r="B23" s="137"/>
      <c r="C23" s="137"/>
      <c r="D23" s="19">
        <v>99910</v>
      </c>
      <c r="E23" s="196">
        <v>43789</v>
      </c>
      <c r="F23" s="137"/>
      <c r="G23" s="137" t="s">
        <v>1104</v>
      </c>
      <c r="H23" s="137"/>
      <c r="I23" s="138">
        <v>113111.01</v>
      </c>
      <c r="J23" s="138"/>
    </row>
    <row r="24" spans="1:10" x14ac:dyDescent="0.2">
      <c r="A24" s="19">
        <v>4</v>
      </c>
      <c r="B24" s="137"/>
      <c r="C24" s="137"/>
      <c r="D24" s="19">
        <v>99912</v>
      </c>
      <c r="E24" s="196">
        <v>44550</v>
      </c>
      <c r="F24" s="137"/>
      <c r="G24" s="137" t="s">
        <v>1271</v>
      </c>
      <c r="H24" s="137"/>
      <c r="I24" s="138">
        <v>184299.62</v>
      </c>
      <c r="J24" s="138"/>
    </row>
    <row r="25" spans="1:10" x14ac:dyDescent="0.2">
      <c r="A25" s="58">
        <v>5</v>
      </c>
      <c r="B25" s="151"/>
      <c r="C25" s="151"/>
      <c r="D25" s="58">
        <v>106652</v>
      </c>
      <c r="E25" s="151"/>
      <c r="F25" s="151"/>
      <c r="G25" s="151" t="s">
        <v>1272</v>
      </c>
      <c r="H25" s="151"/>
      <c r="I25" s="152"/>
      <c r="J25" s="152"/>
    </row>
    <row r="26" spans="1:10" x14ac:dyDescent="0.2">
      <c r="A26" s="58"/>
      <c r="B26" s="151"/>
      <c r="C26" s="151"/>
      <c r="D26" s="58"/>
      <c r="E26" s="151"/>
      <c r="F26" s="151"/>
      <c r="G26" s="151" t="s">
        <v>1419</v>
      </c>
      <c r="H26" s="151"/>
      <c r="I26" s="152">
        <v>449684.79</v>
      </c>
      <c r="J26" s="152"/>
    </row>
    <row r="27" spans="1:10" x14ac:dyDescent="0.2">
      <c r="A27" s="9"/>
      <c r="B27" s="128"/>
      <c r="C27" s="128"/>
      <c r="D27" s="9"/>
      <c r="E27" s="128"/>
      <c r="F27" s="128"/>
      <c r="G27" s="128"/>
      <c r="H27" s="128"/>
      <c r="I27" s="136"/>
      <c r="J27" s="136"/>
    </row>
    <row r="28" spans="1:10" x14ac:dyDescent="0.2">
      <c r="A28" s="9"/>
      <c r="B28" s="128"/>
      <c r="C28" s="128"/>
      <c r="D28" s="9"/>
      <c r="E28" s="128"/>
      <c r="F28" s="128"/>
      <c r="G28" s="128"/>
      <c r="H28" s="128"/>
      <c r="I28" s="136"/>
      <c r="J28" s="136"/>
    </row>
    <row r="29" spans="1:10" ht="13.5" thickBot="1" x14ac:dyDescent="0.25">
      <c r="A29" s="9"/>
      <c r="B29" s="128"/>
      <c r="C29" s="128"/>
      <c r="D29" s="9"/>
      <c r="E29" s="128"/>
      <c r="F29" s="128"/>
      <c r="G29" s="128"/>
      <c r="H29" s="128"/>
      <c r="I29" s="226"/>
      <c r="J29" s="226"/>
    </row>
    <row r="30" spans="1:10" ht="13.5" thickTop="1" x14ac:dyDescent="0.2">
      <c r="A30" s="13"/>
      <c r="B30" s="13"/>
      <c r="C30" s="13"/>
      <c r="D30" s="13"/>
      <c r="E30" s="13"/>
      <c r="F30" s="13"/>
      <c r="G30" s="13"/>
      <c r="H30" s="13" t="s">
        <v>33</v>
      </c>
      <c r="I30" s="140">
        <f>SUM(I21:J29)</f>
        <v>905232.67999999993</v>
      </c>
      <c r="J30" s="140"/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15" t="s">
        <v>46</v>
      </c>
      <c r="B32" s="16"/>
      <c r="C32" s="16"/>
      <c r="D32" s="16"/>
      <c r="E32" s="16"/>
      <c r="F32" s="16"/>
      <c r="G32" s="16"/>
      <c r="H32" s="16"/>
      <c r="I32" s="149" t="s">
        <v>47</v>
      </c>
      <c r="J32" s="150"/>
    </row>
    <row r="33" spans="1:10" x14ac:dyDescent="0.2">
      <c r="A33" s="144" t="s">
        <v>48</v>
      </c>
      <c r="B33" s="144"/>
      <c r="C33" s="144"/>
      <c r="D33" s="144"/>
      <c r="E33" s="144"/>
      <c r="F33" s="144"/>
      <c r="G33" s="144"/>
      <c r="H33" s="144"/>
      <c r="I33" s="148">
        <f>I16*80%</f>
        <v>905232.68000000017</v>
      </c>
      <c r="J33" s="148"/>
    </row>
    <row r="34" spans="1:10" ht="13.5" thickBot="1" x14ac:dyDescent="0.25">
      <c r="A34" s="144" t="s">
        <v>50</v>
      </c>
      <c r="B34" s="144"/>
      <c r="C34" s="144"/>
      <c r="D34" s="144"/>
      <c r="E34" s="144"/>
      <c r="F34" s="144"/>
      <c r="G34" s="144"/>
      <c r="H34" s="144"/>
      <c r="I34" s="145">
        <f>I30</f>
        <v>905232.67999999993</v>
      </c>
      <c r="J34" s="145"/>
    </row>
    <row r="35" spans="1:10" ht="13.5" thickTop="1" x14ac:dyDescent="0.2">
      <c r="H35" s="18" t="s">
        <v>33</v>
      </c>
      <c r="I35" s="129">
        <f>I33-I34</f>
        <v>0</v>
      </c>
      <c r="J35" s="130"/>
    </row>
    <row r="37" spans="1:10" ht="15" x14ac:dyDescent="0.25">
      <c r="A37" s="131" t="s">
        <v>51</v>
      </c>
      <c r="B37" s="132"/>
      <c r="C37" s="132"/>
      <c r="D37" s="132"/>
      <c r="E37" s="132"/>
      <c r="F37" s="132"/>
      <c r="G37" s="132"/>
      <c r="H37" s="132"/>
      <c r="I37" s="132"/>
      <c r="J37" s="133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</sheetData>
  <mergeCells count="91"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A18:J18"/>
    <mergeCell ref="A19:A20"/>
    <mergeCell ref="B19:C20"/>
    <mergeCell ref="D19:D20"/>
    <mergeCell ref="E19:F20"/>
    <mergeCell ref="G19:H20"/>
    <mergeCell ref="I19:J20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I30:J30"/>
    <mergeCell ref="A38:J43"/>
    <mergeCell ref="A33:H33"/>
    <mergeCell ref="I33:J33"/>
    <mergeCell ref="I32:J32"/>
    <mergeCell ref="A34:H34"/>
    <mergeCell ref="I34:J34"/>
    <mergeCell ref="I35:J35"/>
    <mergeCell ref="A37:J37"/>
  </mergeCells>
  <pageMargins left="0.7" right="0.7" top="0.75" bottom="0.75" header="0.3" footer="0.3"/>
  <pageSetup scale="9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57"/>
  <dimension ref="A1:J44"/>
  <sheetViews>
    <sheetView topLeftCell="A16" workbookViewId="0">
      <selection activeCell="M42" sqref="M42"/>
    </sheetView>
  </sheetViews>
  <sheetFormatPr defaultRowHeight="12.75" x14ac:dyDescent="0.2"/>
  <cols>
    <col min="6" max="6" width="12.28515625" customWidth="1"/>
    <col min="9" max="9" width="11.710937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726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2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331"/>
    </row>
    <row r="6" spans="1:10" x14ac:dyDescent="0.2">
      <c r="A6" s="9">
        <v>1</v>
      </c>
      <c r="B6" s="128">
        <v>8235597</v>
      </c>
      <c r="C6" s="128"/>
      <c r="D6" s="128">
        <v>8235570</v>
      </c>
      <c r="E6" s="128"/>
      <c r="F6" s="12">
        <v>35039</v>
      </c>
      <c r="G6" s="169" t="s">
        <v>727</v>
      </c>
      <c r="H6" s="169"/>
      <c r="I6" s="73">
        <v>171770</v>
      </c>
      <c r="J6" s="111">
        <f>I6*0.8</f>
        <v>137416</v>
      </c>
    </row>
    <row r="7" spans="1:10" x14ac:dyDescent="0.2">
      <c r="A7" s="9">
        <v>2</v>
      </c>
      <c r="B7" s="128">
        <v>8231893</v>
      </c>
      <c r="C7" s="128"/>
      <c r="D7" s="128">
        <v>8231923</v>
      </c>
      <c r="E7" s="128"/>
      <c r="F7" s="12">
        <v>35039</v>
      </c>
      <c r="G7" s="169" t="s">
        <v>728</v>
      </c>
      <c r="H7" s="169"/>
      <c r="I7" s="73">
        <v>127550</v>
      </c>
      <c r="J7" s="111">
        <f t="shared" ref="J7:J9" si="0">I7*0.8</f>
        <v>102040</v>
      </c>
    </row>
    <row r="8" spans="1:10" x14ac:dyDescent="0.2">
      <c r="A8" s="9">
        <v>3</v>
      </c>
      <c r="B8" s="128">
        <v>8231907</v>
      </c>
      <c r="C8" s="128"/>
      <c r="D8" s="128">
        <v>8231966</v>
      </c>
      <c r="E8" s="128"/>
      <c r="F8" s="12">
        <v>35039</v>
      </c>
      <c r="G8" s="169" t="s">
        <v>729</v>
      </c>
      <c r="H8" s="169"/>
      <c r="I8" s="73">
        <v>129395</v>
      </c>
      <c r="J8" s="111">
        <f t="shared" si="0"/>
        <v>103516</v>
      </c>
    </row>
    <row r="9" spans="1:10" x14ac:dyDescent="0.2">
      <c r="A9" s="9">
        <v>4</v>
      </c>
      <c r="B9" s="128">
        <v>8232881</v>
      </c>
      <c r="C9" s="128"/>
      <c r="D9" s="128">
        <v>8232784</v>
      </c>
      <c r="E9" s="128"/>
      <c r="F9" s="12">
        <v>35039</v>
      </c>
      <c r="G9" s="169" t="s">
        <v>730</v>
      </c>
      <c r="H9" s="169"/>
      <c r="I9" s="73">
        <v>112840</v>
      </c>
      <c r="J9" s="111">
        <f t="shared" si="0"/>
        <v>90272</v>
      </c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73"/>
      <c r="J10" s="111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73"/>
      <c r="J11" s="111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73"/>
      <c r="J12" s="111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74"/>
      <c r="J13" s="112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80">
        <f>SUM(I6:I13)</f>
        <v>541555</v>
      </c>
      <c r="J14" s="113">
        <f>I14*0.8</f>
        <v>433244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/>
      <c r="B19" s="128"/>
      <c r="C19" s="128"/>
      <c r="D19" s="9"/>
      <c r="E19" s="128"/>
      <c r="F19" s="128"/>
      <c r="G19" s="128"/>
      <c r="H19" s="128"/>
      <c r="I19" s="239"/>
      <c r="J19" s="239"/>
    </row>
    <row r="20" spans="1:10" x14ac:dyDescent="0.2">
      <c r="A20" s="9"/>
      <c r="B20" s="128"/>
      <c r="C20" s="128"/>
      <c r="D20" s="9"/>
      <c r="E20" s="128"/>
      <c r="F20" s="128"/>
      <c r="G20" s="128"/>
      <c r="H20" s="128"/>
      <c r="I20" s="239"/>
      <c r="J20" s="239"/>
    </row>
    <row r="21" spans="1:10" x14ac:dyDescent="0.2">
      <c r="A21" s="9"/>
      <c r="B21" s="128"/>
      <c r="C21" s="128"/>
      <c r="D21" s="9"/>
      <c r="E21" s="128"/>
      <c r="F21" s="128"/>
      <c r="G21" s="128"/>
      <c r="H21" s="128"/>
      <c r="I21" s="239"/>
      <c r="J21" s="239"/>
    </row>
    <row r="22" spans="1:10" x14ac:dyDescent="0.2">
      <c r="A22" s="9"/>
      <c r="B22" s="128"/>
      <c r="C22" s="128"/>
      <c r="D22" s="9"/>
      <c r="E22" s="128"/>
      <c r="F22" s="128"/>
      <c r="G22" s="128"/>
      <c r="H22" s="128"/>
      <c r="I22" s="239"/>
      <c r="J22" s="239"/>
    </row>
    <row r="23" spans="1:10" x14ac:dyDescent="0.2">
      <c r="A23" s="9"/>
      <c r="B23" s="128"/>
      <c r="C23" s="128"/>
      <c r="D23" s="9"/>
      <c r="E23" s="128"/>
      <c r="F23" s="128"/>
      <c r="G23" s="128"/>
      <c r="H23" s="128"/>
      <c r="I23" s="239"/>
      <c r="J23" s="239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239"/>
      <c r="J24" s="239"/>
    </row>
    <row r="25" spans="1:10" x14ac:dyDescent="0.2">
      <c r="A25" s="9"/>
      <c r="B25" s="128"/>
      <c r="C25" s="128"/>
      <c r="D25" s="9"/>
      <c r="E25" s="128"/>
      <c r="F25" s="128"/>
      <c r="G25" s="128"/>
      <c r="H25" s="128"/>
      <c r="I25" s="239"/>
      <c r="J25" s="239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239"/>
      <c r="J26" s="239"/>
    </row>
    <row r="27" spans="1:10" ht="13.5" thickBot="1" x14ac:dyDescent="0.25">
      <c r="A27" s="9"/>
      <c r="B27" s="128"/>
      <c r="C27" s="128"/>
      <c r="D27" s="9"/>
      <c r="E27" s="128"/>
      <c r="F27" s="128"/>
      <c r="G27" s="128"/>
      <c r="H27" s="128"/>
      <c r="I27" s="241"/>
      <c r="J27" s="241"/>
    </row>
    <row r="28" spans="1:10" ht="13.5" thickTop="1" x14ac:dyDescent="0.2">
      <c r="A28" s="13"/>
      <c r="B28" s="13"/>
      <c r="C28" s="13"/>
      <c r="D28" s="13"/>
      <c r="E28" s="13"/>
      <c r="F28" s="13"/>
      <c r="G28" s="13"/>
      <c r="H28" s="13" t="s">
        <v>33</v>
      </c>
      <c r="I28" s="242">
        <f>SUM(I19:J27)</f>
        <v>0</v>
      </c>
      <c r="J28" s="242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49" t="s">
        <v>47</v>
      </c>
      <c r="J30" s="150"/>
    </row>
    <row r="31" spans="1:1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240">
        <f>I14*80%</f>
        <v>433244</v>
      </c>
      <c r="J31" s="240"/>
    </row>
    <row r="32" spans="1:10" x14ac:dyDescent="0.2">
      <c r="A32" s="144" t="s">
        <v>731</v>
      </c>
      <c r="B32" s="144"/>
      <c r="C32" s="144"/>
      <c r="D32" s="144"/>
      <c r="E32" s="144"/>
      <c r="F32" s="144"/>
      <c r="G32" s="144"/>
      <c r="H32" s="144"/>
      <c r="I32" s="245">
        <v>-100000</v>
      </c>
      <c r="J32" s="245"/>
    </row>
    <row r="33" spans="1:10" x14ac:dyDescent="0.2">
      <c r="A33" s="144" t="s">
        <v>831</v>
      </c>
      <c r="B33" s="144"/>
      <c r="C33" s="144"/>
      <c r="D33" s="144"/>
      <c r="E33" s="144"/>
      <c r="F33" s="144"/>
      <c r="G33" s="144"/>
      <c r="H33" s="144"/>
      <c r="I33" s="385">
        <v>-166622</v>
      </c>
      <c r="J33" s="385"/>
    </row>
    <row r="34" spans="1:10" x14ac:dyDescent="0.2">
      <c r="A34" s="144" t="s">
        <v>832</v>
      </c>
      <c r="B34" s="144"/>
      <c r="C34" s="144"/>
      <c r="D34" s="144"/>
      <c r="E34" s="144"/>
      <c r="F34" s="144"/>
      <c r="G34" s="144"/>
      <c r="H34" s="144"/>
      <c r="I34" s="386">
        <v>-166622</v>
      </c>
      <c r="J34" s="386"/>
    </row>
    <row r="35" spans="1:10" ht="13.5" thickBot="1" x14ac:dyDescent="0.25">
      <c r="A35" s="144" t="s">
        <v>50</v>
      </c>
      <c r="B35" s="144"/>
      <c r="C35" s="144"/>
      <c r="D35" s="144"/>
      <c r="E35" s="144"/>
      <c r="F35" s="144"/>
      <c r="G35" s="144"/>
      <c r="H35" s="144"/>
      <c r="I35" s="384">
        <f>I28</f>
        <v>0</v>
      </c>
      <c r="J35" s="384"/>
    </row>
    <row r="36" spans="1:10" ht="13.5" thickTop="1" x14ac:dyDescent="0.2">
      <c r="H36" s="18" t="s">
        <v>33</v>
      </c>
      <c r="I36" s="243">
        <f>I31+I32+I33+I34-I35</f>
        <v>0</v>
      </c>
      <c r="J36" s="244"/>
    </row>
    <row r="38" spans="1:10" ht="15" x14ac:dyDescent="0.25">
      <c r="A38" s="131" t="s">
        <v>51</v>
      </c>
      <c r="B38" s="132"/>
      <c r="C38" s="132"/>
      <c r="D38" s="132"/>
      <c r="E38" s="132"/>
      <c r="F38" s="132"/>
      <c r="G38" s="132"/>
      <c r="H38" s="132"/>
      <c r="I38" s="132"/>
      <c r="J38" s="133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</sheetData>
  <mergeCells count="91">
    <mergeCell ref="I36:J36"/>
    <mergeCell ref="A38:J38"/>
    <mergeCell ref="A39:J44"/>
    <mergeCell ref="A32:H32"/>
    <mergeCell ref="I32:J32"/>
    <mergeCell ref="A35:H35"/>
    <mergeCell ref="I35:J35"/>
    <mergeCell ref="A33:H33"/>
    <mergeCell ref="I33:J33"/>
    <mergeCell ref="I34:J34"/>
    <mergeCell ref="B27:C27"/>
    <mergeCell ref="E27:F27"/>
    <mergeCell ref="G27:H27"/>
    <mergeCell ref="I27:J27"/>
    <mergeCell ref="A34:H34"/>
    <mergeCell ref="I28:J28"/>
    <mergeCell ref="I30:J30"/>
    <mergeCell ref="A31:H31"/>
    <mergeCell ref="I31:J31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J43"/>
  <sheetViews>
    <sheetView topLeftCell="A13" workbookViewId="0">
      <selection activeCell="E23" sqref="E23:F23"/>
    </sheetView>
  </sheetViews>
  <sheetFormatPr defaultRowHeight="12.75" x14ac:dyDescent="0.2"/>
  <cols>
    <col min="6" max="6" width="12.7109375" customWidth="1"/>
    <col min="7" max="7" width="12.5703125" customWidth="1"/>
    <col min="8" max="8" width="12" customWidth="1"/>
    <col min="9" max="9" width="12.7109375" bestFit="1" customWidth="1"/>
    <col min="10" max="10" width="11.1406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1370</v>
      </c>
      <c r="B2" s="6"/>
      <c r="C2" s="6"/>
      <c r="D2" s="6"/>
      <c r="E2" s="6"/>
      <c r="F2" s="6"/>
      <c r="G2" s="6"/>
      <c r="H2" s="6"/>
      <c r="I2" s="6"/>
      <c r="J2" s="59" t="s">
        <v>185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8331448</v>
      </c>
      <c r="C6" s="128"/>
      <c r="D6" s="128">
        <v>8331449</v>
      </c>
      <c r="E6" s="128"/>
      <c r="F6" s="12">
        <v>43836</v>
      </c>
      <c r="G6" s="169"/>
      <c r="H6" s="169"/>
      <c r="I6" s="32">
        <v>390015.05</v>
      </c>
      <c r="J6" s="32">
        <f>I6*0.8</f>
        <v>312012.03999999998</v>
      </c>
    </row>
    <row r="7" spans="1:10" x14ac:dyDescent="0.2">
      <c r="A7" s="9">
        <v>2</v>
      </c>
      <c r="B7" s="128">
        <v>8335192</v>
      </c>
      <c r="C7" s="128"/>
      <c r="D7" s="128">
        <v>8335193</v>
      </c>
      <c r="E7" s="128"/>
      <c r="F7" s="12">
        <v>44089</v>
      </c>
      <c r="G7" s="169"/>
      <c r="H7" s="169"/>
      <c r="I7" s="32">
        <v>403855.35</v>
      </c>
      <c r="J7" s="32">
        <f>I7*0.8</f>
        <v>323084.28000000003</v>
      </c>
    </row>
    <row r="8" spans="1:10" x14ac:dyDescent="0.2">
      <c r="A8" s="9">
        <v>3</v>
      </c>
      <c r="B8" s="128">
        <v>8331294</v>
      </c>
      <c r="C8" s="128"/>
      <c r="D8" s="128">
        <v>8331288</v>
      </c>
      <c r="E8" s="128"/>
      <c r="F8" s="12">
        <v>44813</v>
      </c>
      <c r="G8" s="169" t="s">
        <v>1580</v>
      </c>
      <c r="H8" s="169"/>
      <c r="I8" s="32">
        <v>286637.24</v>
      </c>
      <c r="J8" s="32">
        <f>I8*0.8</f>
        <v>229309.79200000002</v>
      </c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9"/>
      <c r="B13" s="128"/>
      <c r="C13" s="128"/>
      <c r="D13" s="128"/>
      <c r="E13" s="128"/>
      <c r="F13" s="12"/>
      <c r="G13" s="169"/>
      <c r="H13" s="169"/>
      <c r="I13" s="32"/>
      <c r="J13" s="32"/>
    </row>
    <row r="14" spans="1:10" x14ac:dyDescent="0.2">
      <c r="A14" s="9"/>
      <c r="B14" s="128"/>
      <c r="C14" s="128"/>
      <c r="D14" s="128"/>
      <c r="E14" s="128"/>
      <c r="F14" s="12"/>
      <c r="G14" s="169"/>
      <c r="H14" s="169"/>
      <c r="I14" s="32"/>
      <c r="J14" s="32"/>
    </row>
    <row r="15" spans="1:10" x14ac:dyDescent="0.2">
      <c r="A15" s="9"/>
      <c r="B15" s="128"/>
      <c r="C15" s="128"/>
      <c r="D15" s="128"/>
      <c r="E15" s="128"/>
      <c r="F15" s="12"/>
      <c r="G15" s="169"/>
      <c r="H15" s="169"/>
      <c r="I15" s="32"/>
      <c r="J15" s="32"/>
    </row>
    <row r="16" spans="1:10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33">
        <f>SUM(I6:I15)</f>
        <v>1080507.6399999999</v>
      </c>
      <c r="J16" s="33">
        <f>SUM(J6:J15)</f>
        <v>864406.11200000008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1" t="s">
        <v>34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x14ac:dyDescent="0.2">
      <c r="A19" s="169" t="s">
        <v>23</v>
      </c>
      <c r="B19" s="169" t="s">
        <v>35</v>
      </c>
      <c r="C19" s="169"/>
      <c r="D19" s="169" t="s">
        <v>36</v>
      </c>
      <c r="E19" s="169" t="s">
        <v>37</v>
      </c>
      <c r="F19" s="169"/>
      <c r="G19" s="169" t="s">
        <v>38</v>
      </c>
      <c r="H19" s="169"/>
      <c r="I19" s="169" t="s">
        <v>39</v>
      </c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82">
        <v>1</v>
      </c>
      <c r="B21" s="198"/>
      <c r="C21" s="198"/>
      <c r="D21" s="82">
        <v>110973</v>
      </c>
      <c r="E21" s="253"/>
      <c r="F21" s="198"/>
      <c r="G21" s="157" t="s">
        <v>1371</v>
      </c>
      <c r="H21" s="156"/>
      <c r="I21" s="199">
        <v>71250</v>
      </c>
      <c r="J21" s="199"/>
    </row>
    <row r="22" spans="1:10" x14ac:dyDescent="0.2">
      <c r="A22" s="82">
        <v>2</v>
      </c>
      <c r="B22" s="198"/>
      <c r="C22" s="198"/>
      <c r="D22" s="82">
        <v>115793</v>
      </c>
      <c r="E22" s="198"/>
      <c r="F22" s="198"/>
      <c r="G22" s="198" t="s">
        <v>1477</v>
      </c>
      <c r="H22" s="198"/>
      <c r="I22" s="199">
        <v>100500</v>
      </c>
      <c r="J22" s="199"/>
    </row>
    <row r="23" spans="1:10" x14ac:dyDescent="0.2">
      <c r="A23" s="82">
        <v>3</v>
      </c>
      <c r="B23" s="198"/>
      <c r="C23" s="198"/>
      <c r="D23" s="82">
        <v>118471</v>
      </c>
      <c r="E23" s="198"/>
      <c r="F23" s="198"/>
      <c r="G23" s="198" t="s">
        <v>1602</v>
      </c>
      <c r="H23" s="198"/>
      <c r="I23" s="199">
        <v>91050</v>
      </c>
      <c r="J23" s="199"/>
    </row>
    <row r="24" spans="1:10" x14ac:dyDescent="0.2">
      <c r="A24" s="19"/>
      <c r="B24" s="137"/>
      <c r="C24" s="137"/>
      <c r="D24" s="19"/>
      <c r="E24" s="137"/>
      <c r="F24" s="137"/>
      <c r="G24" s="137"/>
      <c r="H24" s="137"/>
      <c r="I24" s="138"/>
      <c r="J24" s="138"/>
    </row>
    <row r="25" spans="1:10" x14ac:dyDescent="0.2">
      <c r="A25" s="58"/>
      <c r="B25" s="151"/>
      <c r="C25" s="151"/>
      <c r="D25" s="58"/>
      <c r="E25" s="151"/>
      <c r="F25" s="151"/>
      <c r="G25" s="151"/>
      <c r="H25" s="151"/>
      <c r="I25" s="152"/>
      <c r="J25" s="152"/>
    </row>
    <row r="26" spans="1:10" x14ac:dyDescent="0.2">
      <c r="A26" s="9"/>
      <c r="B26" s="128"/>
      <c r="C26" s="128"/>
      <c r="D26" s="9"/>
      <c r="E26" s="128"/>
      <c r="F26" s="128"/>
      <c r="G26" s="128"/>
      <c r="H26" s="128"/>
      <c r="I26" s="136"/>
      <c r="J26" s="136"/>
    </row>
    <row r="27" spans="1:10" x14ac:dyDescent="0.2">
      <c r="A27" s="9"/>
      <c r="B27" s="128"/>
      <c r="C27" s="128"/>
      <c r="D27" s="9"/>
      <c r="E27" s="128"/>
      <c r="F27" s="128"/>
      <c r="G27" s="128"/>
      <c r="H27" s="128"/>
      <c r="I27" s="136"/>
      <c r="J27" s="136"/>
    </row>
    <row r="28" spans="1:10" x14ac:dyDescent="0.2">
      <c r="A28" s="9"/>
      <c r="B28" s="128"/>
      <c r="C28" s="128"/>
      <c r="D28" s="9"/>
      <c r="E28" s="128"/>
      <c r="F28" s="128"/>
      <c r="G28" s="128"/>
      <c r="H28" s="128"/>
      <c r="I28" s="136"/>
      <c r="J28" s="136"/>
    </row>
    <row r="29" spans="1:10" ht="13.5" thickBot="1" x14ac:dyDescent="0.25">
      <c r="A29" s="9"/>
      <c r="B29" s="128"/>
      <c r="C29" s="128"/>
      <c r="D29" s="9"/>
      <c r="E29" s="128"/>
      <c r="F29" s="128"/>
      <c r="G29" s="128"/>
      <c r="H29" s="128"/>
      <c r="I29" s="226"/>
      <c r="J29" s="226"/>
    </row>
    <row r="30" spans="1:10" ht="13.5" thickTop="1" x14ac:dyDescent="0.2">
      <c r="A30" s="13"/>
      <c r="B30" s="13"/>
      <c r="C30" s="13"/>
      <c r="D30" s="13"/>
      <c r="E30" s="13"/>
      <c r="F30" s="13"/>
      <c r="G30" s="13"/>
      <c r="H30" s="13" t="s">
        <v>33</v>
      </c>
      <c r="I30" s="140">
        <f>SUM(I21:J29)</f>
        <v>262800</v>
      </c>
      <c r="J30" s="140"/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15" t="s">
        <v>46</v>
      </c>
      <c r="B32" s="16"/>
      <c r="C32" s="16"/>
      <c r="D32" s="16"/>
      <c r="E32" s="16"/>
      <c r="F32" s="16"/>
      <c r="G32" s="16"/>
      <c r="H32" s="16"/>
      <c r="I32" s="149" t="s">
        <v>47</v>
      </c>
      <c r="J32" s="150"/>
    </row>
    <row r="33" spans="1:10" x14ac:dyDescent="0.2">
      <c r="A33" s="144" t="s">
        <v>48</v>
      </c>
      <c r="B33" s="144"/>
      <c r="C33" s="144"/>
      <c r="D33" s="144"/>
      <c r="E33" s="144"/>
      <c r="F33" s="144"/>
      <c r="G33" s="144"/>
      <c r="H33" s="144"/>
      <c r="I33" s="148">
        <f>I16*80%</f>
        <v>864406.11199999996</v>
      </c>
      <c r="J33" s="148"/>
    </row>
    <row r="34" spans="1:10" ht="13.5" thickBot="1" x14ac:dyDescent="0.25">
      <c r="A34" s="144" t="s">
        <v>50</v>
      </c>
      <c r="B34" s="144"/>
      <c r="C34" s="144"/>
      <c r="D34" s="144"/>
      <c r="E34" s="144"/>
      <c r="F34" s="144"/>
      <c r="G34" s="144"/>
      <c r="H34" s="144"/>
      <c r="I34" s="145">
        <f>I30</f>
        <v>262800</v>
      </c>
      <c r="J34" s="145"/>
    </row>
    <row r="35" spans="1:10" ht="13.5" thickTop="1" x14ac:dyDescent="0.2">
      <c r="H35" s="18" t="s">
        <v>33</v>
      </c>
      <c r="I35" s="129">
        <f>I33-I34</f>
        <v>601606.11199999996</v>
      </c>
      <c r="J35" s="130"/>
    </row>
    <row r="37" spans="1:10" ht="15" x14ac:dyDescent="0.25">
      <c r="A37" s="131" t="s">
        <v>51</v>
      </c>
      <c r="B37" s="132"/>
      <c r="C37" s="132"/>
      <c r="D37" s="132"/>
      <c r="E37" s="132"/>
      <c r="F37" s="132"/>
      <c r="G37" s="132"/>
      <c r="H37" s="132"/>
      <c r="I37" s="132"/>
      <c r="J37" s="133"/>
    </row>
    <row r="38" spans="1:10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</sheetData>
  <mergeCells count="91"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7:C7"/>
    <mergeCell ref="D7:E7"/>
    <mergeCell ref="G7:H7"/>
    <mergeCell ref="G11:H11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E25:F25"/>
    <mergeCell ref="G25:H25"/>
    <mergeCell ref="I25:J25"/>
    <mergeCell ref="B26:C26"/>
    <mergeCell ref="E26:F26"/>
    <mergeCell ref="G26:H26"/>
    <mergeCell ref="I26:J26"/>
    <mergeCell ref="B15:C15"/>
    <mergeCell ref="D15:E15"/>
    <mergeCell ref="G15:H15"/>
    <mergeCell ref="A18:J18"/>
    <mergeCell ref="A34:H34"/>
    <mergeCell ref="I34:J34"/>
    <mergeCell ref="I32:J32"/>
    <mergeCell ref="A33:H33"/>
    <mergeCell ref="I33:J33"/>
    <mergeCell ref="I30:J30"/>
    <mergeCell ref="B28:C28"/>
    <mergeCell ref="E28:F28"/>
    <mergeCell ref="G28:H28"/>
    <mergeCell ref="B29:C29"/>
    <mergeCell ref="E29:F29"/>
    <mergeCell ref="G29:H29"/>
    <mergeCell ref="B14:C14"/>
    <mergeCell ref="D14:E14"/>
    <mergeCell ref="G14:H14"/>
    <mergeCell ref="B12:C12"/>
    <mergeCell ref="D12:E12"/>
    <mergeCell ref="G12:H12"/>
    <mergeCell ref="B13:C13"/>
    <mergeCell ref="D13:E13"/>
    <mergeCell ref="G13:H13"/>
    <mergeCell ref="A37:J37"/>
    <mergeCell ref="A38:J43"/>
    <mergeCell ref="A19:A20"/>
    <mergeCell ref="B19:C20"/>
    <mergeCell ref="D19:D20"/>
    <mergeCell ref="E19:F20"/>
    <mergeCell ref="G19:H20"/>
    <mergeCell ref="I19:J20"/>
    <mergeCell ref="I35:J35"/>
    <mergeCell ref="I29:J29"/>
    <mergeCell ref="B27:C27"/>
    <mergeCell ref="E27:F27"/>
    <mergeCell ref="G27:H27"/>
    <mergeCell ref="I27:J27"/>
    <mergeCell ref="I28:J28"/>
    <mergeCell ref="B25:C2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58">
    <pageSetUpPr fitToPage="1"/>
  </sheetPr>
  <dimension ref="A1:J47"/>
  <sheetViews>
    <sheetView tabSelected="1" workbookViewId="0">
      <selection activeCell="I29" sqref="I29:J29"/>
    </sheetView>
  </sheetViews>
  <sheetFormatPr defaultRowHeight="12.75" x14ac:dyDescent="0.2"/>
  <cols>
    <col min="6" max="6" width="12.28515625" customWidth="1"/>
    <col min="9" max="9" width="13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732</v>
      </c>
      <c r="B2" s="6"/>
      <c r="C2" s="6"/>
      <c r="D2" s="6"/>
      <c r="E2" s="6"/>
      <c r="F2" s="6"/>
      <c r="G2" s="6"/>
      <c r="H2" s="6"/>
      <c r="I2" s="6"/>
      <c r="J2" s="7" t="s">
        <v>130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8437408</v>
      </c>
      <c r="C6" s="128"/>
      <c r="D6" s="128">
        <v>8437548</v>
      </c>
      <c r="E6" s="128"/>
      <c r="F6" s="12">
        <v>32643</v>
      </c>
      <c r="G6" s="169" t="s">
        <v>733</v>
      </c>
      <c r="H6" s="169"/>
      <c r="I6" s="32">
        <v>253311.63</v>
      </c>
      <c r="J6" s="32">
        <f>I6*0.8</f>
        <v>202649.304</v>
      </c>
    </row>
    <row r="7" spans="1:10" x14ac:dyDescent="0.2">
      <c r="A7" s="9">
        <v>2</v>
      </c>
      <c r="B7" s="128">
        <v>8430829</v>
      </c>
      <c r="C7" s="128"/>
      <c r="D7" s="128">
        <v>8430837</v>
      </c>
      <c r="E7" s="128"/>
      <c r="F7" s="12">
        <f>F6</f>
        <v>32643</v>
      </c>
      <c r="G7" s="169" t="s">
        <v>734</v>
      </c>
      <c r="H7" s="169"/>
      <c r="I7" s="32">
        <v>49230</v>
      </c>
      <c r="J7" s="32">
        <f t="shared" ref="J7:J15" si="0">I7*0.8</f>
        <v>39384</v>
      </c>
    </row>
    <row r="8" spans="1:10" x14ac:dyDescent="0.2">
      <c r="A8" s="9">
        <v>3</v>
      </c>
      <c r="B8" s="128">
        <v>8430454</v>
      </c>
      <c r="C8" s="128"/>
      <c r="D8" s="128">
        <v>8430462</v>
      </c>
      <c r="E8" s="128"/>
      <c r="F8" s="12">
        <f t="shared" ref="F8:F14" si="1">F7</f>
        <v>32643</v>
      </c>
      <c r="G8" s="169" t="s">
        <v>735</v>
      </c>
      <c r="H8" s="169"/>
      <c r="I8" s="32">
        <v>48885</v>
      </c>
      <c r="J8" s="32">
        <f t="shared" si="0"/>
        <v>39108</v>
      </c>
    </row>
    <row r="9" spans="1:10" x14ac:dyDescent="0.2">
      <c r="A9" s="9">
        <v>4</v>
      </c>
      <c r="B9" s="128">
        <v>8436991</v>
      </c>
      <c r="C9" s="128"/>
      <c r="D9" s="128">
        <v>8437092</v>
      </c>
      <c r="E9" s="128"/>
      <c r="F9" s="12">
        <f t="shared" si="1"/>
        <v>32643</v>
      </c>
      <c r="G9" s="169" t="s">
        <v>736</v>
      </c>
      <c r="H9" s="169"/>
      <c r="I9" s="32">
        <v>32311</v>
      </c>
      <c r="J9" s="32">
        <f t="shared" si="0"/>
        <v>25848.800000000003</v>
      </c>
    </row>
    <row r="10" spans="1:10" x14ac:dyDescent="0.2">
      <c r="A10" s="9">
        <v>5</v>
      </c>
      <c r="B10" s="128">
        <v>8438803</v>
      </c>
      <c r="C10" s="128"/>
      <c r="D10" s="128">
        <v>8438846</v>
      </c>
      <c r="E10" s="128"/>
      <c r="F10" s="12">
        <f t="shared" si="1"/>
        <v>32643</v>
      </c>
      <c r="G10" s="169" t="s">
        <v>737</v>
      </c>
      <c r="H10" s="169"/>
      <c r="I10" s="32">
        <v>52360</v>
      </c>
      <c r="J10" s="32">
        <f t="shared" si="0"/>
        <v>41888</v>
      </c>
    </row>
    <row r="11" spans="1:10" x14ac:dyDescent="0.2">
      <c r="A11" s="9">
        <v>6</v>
      </c>
      <c r="B11" s="128">
        <v>8484042</v>
      </c>
      <c r="C11" s="128"/>
      <c r="D11" s="128">
        <v>8434069</v>
      </c>
      <c r="E11" s="128"/>
      <c r="F11" s="12">
        <f t="shared" si="1"/>
        <v>32643</v>
      </c>
      <c r="G11" s="169" t="s">
        <v>738</v>
      </c>
      <c r="H11" s="169"/>
      <c r="I11" s="32">
        <v>33012</v>
      </c>
      <c r="J11" s="32">
        <f t="shared" si="0"/>
        <v>26409.600000000002</v>
      </c>
    </row>
    <row r="12" spans="1:10" x14ac:dyDescent="0.2">
      <c r="A12" s="9">
        <v>7</v>
      </c>
      <c r="B12" s="128">
        <v>8434689</v>
      </c>
      <c r="C12" s="128"/>
      <c r="D12" s="128">
        <v>8434980</v>
      </c>
      <c r="E12" s="128"/>
      <c r="F12" s="12">
        <f t="shared" si="1"/>
        <v>32643</v>
      </c>
      <c r="G12" s="169" t="s">
        <v>739</v>
      </c>
      <c r="H12" s="169"/>
      <c r="I12" s="32">
        <v>164233</v>
      </c>
      <c r="J12" s="32">
        <f t="shared" si="0"/>
        <v>131386.4</v>
      </c>
    </row>
    <row r="13" spans="1:10" x14ac:dyDescent="0.2">
      <c r="A13" s="9">
        <v>8</v>
      </c>
      <c r="B13" s="128">
        <v>8437955</v>
      </c>
      <c r="C13" s="128"/>
      <c r="D13" s="128">
        <v>8437971</v>
      </c>
      <c r="E13" s="128"/>
      <c r="F13" s="12">
        <f t="shared" si="1"/>
        <v>32643</v>
      </c>
      <c r="G13" s="169" t="s">
        <v>740</v>
      </c>
      <c r="H13" s="169"/>
      <c r="I13" s="32">
        <v>31112</v>
      </c>
      <c r="J13" s="32">
        <f t="shared" si="0"/>
        <v>24889.600000000002</v>
      </c>
    </row>
    <row r="14" spans="1:10" x14ac:dyDescent="0.2">
      <c r="A14" s="9">
        <v>9</v>
      </c>
      <c r="B14" s="128">
        <v>8436711</v>
      </c>
      <c r="C14" s="128"/>
      <c r="D14" s="128">
        <v>8436851</v>
      </c>
      <c r="E14" s="128"/>
      <c r="F14" s="12">
        <f t="shared" si="1"/>
        <v>32643</v>
      </c>
      <c r="G14" s="169" t="s">
        <v>741</v>
      </c>
      <c r="H14" s="169"/>
      <c r="I14" s="32">
        <v>34746</v>
      </c>
      <c r="J14" s="32">
        <f t="shared" si="0"/>
        <v>27796.800000000003</v>
      </c>
    </row>
    <row r="15" spans="1:10" x14ac:dyDescent="0.2">
      <c r="A15" s="9">
        <v>10</v>
      </c>
      <c r="B15" s="128">
        <v>8431728</v>
      </c>
      <c r="C15" s="128"/>
      <c r="D15" s="128">
        <v>8431729</v>
      </c>
      <c r="E15" s="128"/>
      <c r="F15" s="12">
        <v>45245</v>
      </c>
      <c r="G15" s="169" t="s">
        <v>1652</v>
      </c>
      <c r="H15" s="169"/>
      <c r="I15" s="32">
        <v>350697.28</v>
      </c>
      <c r="J15" s="32">
        <f t="shared" si="0"/>
        <v>280557.82400000002</v>
      </c>
    </row>
    <row r="16" spans="1:10" x14ac:dyDescent="0.2">
      <c r="A16" s="13"/>
      <c r="B16" s="13"/>
      <c r="C16" s="13"/>
      <c r="D16" s="13"/>
      <c r="E16" s="13"/>
      <c r="F16" s="13"/>
      <c r="G16" s="13"/>
      <c r="H16" s="13" t="s">
        <v>33</v>
      </c>
      <c r="I16" s="33">
        <f>SUM(I6:I15)</f>
        <v>1049897.9100000001</v>
      </c>
      <c r="J16" s="33">
        <f>SUM(J6:J15)</f>
        <v>839918.32799999998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x14ac:dyDescent="0.25">
      <c r="A18" s="131" t="s">
        <v>34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x14ac:dyDescent="0.2">
      <c r="A19" s="169" t="s">
        <v>23</v>
      </c>
      <c r="B19" s="169" t="s">
        <v>35</v>
      </c>
      <c r="C19" s="169"/>
      <c r="D19" s="169" t="s">
        <v>36</v>
      </c>
      <c r="E19" s="169" t="s">
        <v>37</v>
      </c>
      <c r="F19" s="169"/>
      <c r="G19" s="169" t="s">
        <v>38</v>
      </c>
      <c r="H19" s="169"/>
      <c r="I19" s="169" t="s">
        <v>39</v>
      </c>
      <c r="J19" s="169"/>
    </row>
    <row r="20" spans="1:10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x14ac:dyDescent="0.2">
      <c r="A21" s="9">
        <v>1</v>
      </c>
      <c r="B21" s="128">
        <v>506222</v>
      </c>
      <c r="C21" s="128"/>
      <c r="D21" s="9">
        <v>81563</v>
      </c>
      <c r="E21" s="182">
        <v>41453</v>
      </c>
      <c r="F21" s="128"/>
      <c r="G21" s="227" t="s">
        <v>849</v>
      </c>
      <c r="H21" s="228"/>
      <c r="I21" s="136">
        <v>47327.33</v>
      </c>
      <c r="J21" s="136"/>
    </row>
    <row r="22" spans="1:10" x14ac:dyDescent="0.2">
      <c r="A22" s="19">
        <v>2</v>
      </c>
      <c r="B22" s="137"/>
      <c r="C22" s="137"/>
      <c r="D22" s="19">
        <v>83703</v>
      </c>
      <c r="E22" s="196">
        <v>42430</v>
      </c>
      <c r="F22" s="137"/>
      <c r="G22" s="137" t="s">
        <v>743</v>
      </c>
      <c r="H22" s="137"/>
      <c r="I22" s="138">
        <v>169855.8</v>
      </c>
      <c r="J22" s="138"/>
    </row>
    <row r="23" spans="1:10" x14ac:dyDescent="0.2">
      <c r="A23" s="19">
        <v>3</v>
      </c>
      <c r="B23" s="137"/>
      <c r="C23" s="137"/>
      <c r="D23" s="19">
        <v>85035</v>
      </c>
      <c r="E23" s="196">
        <v>43126</v>
      </c>
      <c r="F23" s="137"/>
      <c r="G23" s="137" t="s">
        <v>744</v>
      </c>
      <c r="H23" s="137"/>
      <c r="I23" s="138">
        <v>52228.53</v>
      </c>
      <c r="J23" s="138"/>
    </row>
    <row r="24" spans="1:10" x14ac:dyDescent="0.2">
      <c r="A24" s="19"/>
      <c r="B24" s="137"/>
      <c r="C24" s="137"/>
      <c r="D24" s="19">
        <v>87270</v>
      </c>
      <c r="E24" s="137" t="s">
        <v>864</v>
      </c>
      <c r="F24" s="137"/>
      <c r="G24" s="137"/>
      <c r="H24" s="137"/>
      <c r="I24" s="138">
        <v>14298.55</v>
      </c>
      <c r="J24" s="138"/>
    </row>
    <row r="25" spans="1:10" x14ac:dyDescent="0.2">
      <c r="A25" s="19">
        <v>4</v>
      </c>
      <c r="B25" s="137"/>
      <c r="C25" s="137"/>
      <c r="D25" s="19">
        <v>111191</v>
      </c>
      <c r="E25" s="137"/>
      <c r="F25" s="137"/>
      <c r="G25" s="137" t="s">
        <v>1383</v>
      </c>
      <c r="H25" s="137"/>
      <c r="I25" s="138">
        <v>55848.68</v>
      </c>
      <c r="J25" s="138"/>
    </row>
    <row r="26" spans="1:10" x14ac:dyDescent="0.2">
      <c r="A26" s="19">
        <v>5</v>
      </c>
      <c r="B26" s="137"/>
      <c r="C26" s="137"/>
      <c r="D26" s="19">
        <v>109066</v>
      </c>
      <c r="E26" s="137"/>
      <c r="F26" s="137"/>
      <c r="G26" s="137" t="s">
        <v>1384</v>
      </c>
      <c r="H26" s="137"/>
      <c r="I26" s="138">
        <v>249125.99</v>
      </c>
      <c r="J26" s="138"/>
    </row>
    <row r="27" spans="1:10" x14ac:dyDescent="0.2">
      <c r="A27" s="9">
        <v>6</v>
      </c>
      <c r="B27" s="128"/>
      <c r="C27" s="128"/>
      <c r="D27" s="9">
        <v>112891</v>
      </c>
      <c r="E27" s="128"/>
      <c r="F27" s="128"/>
      <c r="G27" s="128" t="s">
        <v>1385</v>
      </c>
      <c r="H27" s="128"/>
      <c r="I27" s="136">
        <v>147180.28</v>
      </c>
      <c r="J27" s="136"/>
    </row>
    <row r="28" spans="1:10" x14ac:dyDescent="0.2">
      <c r="A28" s="58">
        <v>7</v>
      </c>
      <c r="B28" s="151"/>
      <c r="C28" s="151"/>
      <c r="D28" s="58"/>
      <c r="E28" s="151"/>
      <c r="F28" s="151"/>
      <c r="G28" s="151" t="s">
        <v>1498</v>
      </c>
      <c r="H28" s="151"/>
      <c r="I28" s="152">
        <v>163350</v>
      </c>
      <c r="J28" s="152"/>
    </row>
    <row r="29" spans="1:10" x14ac:dyDescent="0.2">
      <c r="A29" s="9"/>
      <c r="B29" s="128"/>
      <c r="C29" s="128"/>
      <c r="D29" s="9"/>
      <c r="E29" s="128"/>
      <c r="F29" s="128"/>
      <c r="G29" s="128"/>
      <c r="H29" s="128"/>
      <c r="I29" s="136"/>
      <c r="J29" s="136"/>
    </row>
    <row r="30" spans="1:10" ht="13.5" thickBot="1" x14ac:dyDescent="0.25">
      <c r="A30" s="9"/>
      <c r="B30" s="128"/>
      <c r="C30" s="128"/>
      <c r="D30" s="9"/>
      <c r="E30" s="128"/>
      <c r="F30" s="128"/>
      <c r="G30" s="128"/>
      <c r="H30" s="128"/>
      <c r="I30" s="226"/>
      <c r="J30" s="22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0">
        <f>SUM(I21:J30)</f>
        <v>899215.16</v>
      </c>
      <c r="J31" s="140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49" t="s">
        <v>47</v>
      </c>
      <c r="J33" s="150"/>
    </row>
    <row r="34" spans="1:10" x14ac:dyDescent="0.2">
      <c r="A34" s="144" t="s">
        <v>48</v>
      </c>
      <c r="B34" s="144"/>
      <c r="C34" s="144"/>
      <c r="D34" s="144"/>
      <c r="E34" s="144"/>
      <c r="F34" s="144"/>
      <c r="G34" s="144"/>
      <c r="H34" s="144"/>
      <c r="I34" s="148">
        <f>I16*80%</f>
        <v>839918.32800000021</v>
      </c>
      <c r="J34" s="148"/>
    </row>
    <row r="35" spans="1:10" x14ac:dyDescent="0.2">
      <c r="A35" s="144" t="s">
        <v>49</v>
      </c>
      <c r="B35" s="144"/>
      <c r="C35" s="144"/>
      <c r="D35" s="144"/>
      <c r="E35" s="144"/>
      <c r="F35" s="144"/>
      <c r="G35" s="144"/>
      <c r="H35" s="144"/>
      <c r="I35" s="184">
        <f>-110305-57907</f>
        <v>-168212</v>
      </c>
      <c r="J35" s="184"/>
    </row>
    <row r="36" spans="1:10" x14ac:dyDescent="0.2">
      <c r="A36" s="185" t="s">
        <v>817</v>
      </c>
      <c r="B36" s="142"/>
      <c r="C36" s="142"/>
      <c r="D36" s="142"/>
      <c r="E36" s="142"/>
      <c r="F36" s="142"/>
      <c r="G36" s="142"/>
      <c r="H36" s="143"/>
      <c r="I36" s="146">
        <v>-100000</v>
      </c>
      <c r="J36" s="147"/>
    </row>
    <row r="37" spans="1:10" x14ac:dyDescent="0.2">
      <c r="A37" s="141" t="s">
        <v>1382</v>
      </c>
      <c r="B37" s="142"/>
      <c r="C37" s="142"/>
      <c r="D37" s="142"/>
      <c r="E37" s="142"/>
      <c r="F37" s="142"/>
      <c r="G37" s="142"/>
      <c r="H37" s="143"/>
      <c r="I37" s="146">
        <v>500000</v>
      </c>
      <c r="J37" s="147"/>
    </row>
    <row r="38" spans="1:10" ht="13.5" thickBot="1" x14ac:dyDescent="0.25">
      <c r="A38" s="144" t="s">
        <v>50</v>
      </c>
      <c r="B38" s="144"/>
      <c r="C38" s="144"/>
      <c r="D38" s="144"/>
      <c r="E38" s="144"/>
      <c r="F38" s="144"/>
      <c r="G38" s="144"/>
      <c r="H38" s="144"/>
      <c r="I38" s="145">
        <f>I31</f>
        <v>899215.16</v>
      </c>
      <c r="J38" s="145"/>
    </row>
    <row r="39" spans="1:10" ht="13.5" thickTop="1" x14ac:dyDescent="0.2">
      <c r="H39" s="18" t="s">
        <v>33</v>
      </c>
      <c r="I39" s="129">
        <f>I34+I35+I36+I37-I38</f>
        <v>172491.16800000018</v>
      </c>
      <c r="J39" s="130"/>
    </row>
    <row r="41" spans="1:10" ht="15" x14ac:dyDescent="0.25">
      <c r="A41" s="131" t="s">
        <v>51</v>
      </c>
      <c r="B41" s="132"/>
      <c r="C41" s="132"/>
      <c r="D41" s="132"/>
      <c r="E41" s="132"/>
      <c r="F41" s="132"/>
      <c r="G41" s="132"/>
      <c r="H41" s="132"/>
      <c r="I41" s="132"/>
      <c r="J41" s="133"/>
    </row>
    <row r="42" spans="1:10" x14ac:dyDescent="0.2">
      <c r="A42" s="139" t="s">
        <v>742</v>
      </c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</sheetData>
  <mergeCells count="101">
    <mergeCell ref="B30:C30"/>
    <mergeCell ref="E30:F30"/>
    <mergeCell ref="G30:H30"/>
    <mergeCell ref="I30:J30"/>
    <mergeCell ref="I31:J31"/>
    <mergeCell ref="I33:J33"/>
    <mergeCell ref="A34:H34"/>
    <mergeCell ref="A36:H36"/>
    <mergeCell ref="I36:J36"/>
    <mergeCell ref="A42:J47"/>
    <mergeCell ref="A35:H35"/>
    <mergeCell ref="I35:J35"/>
    <mergeCell ref="A38:H38"/>
    <mergeCell ref="I38:J38"/>
    <mergeCell ref="A41:J41"/>
    <mergeCell ref="I39:J39"/>
    <mergeCell ref="I34:J34"/>
    <mergeCell ref="A37:H37"/>
    <mergeCell ref="I37:J37"/>
    <mergeCell ref="B27:C27"/>
    <mergeCell ref="E27:F27"/>
    <mergeCell ref="G27:H27"/>
    <mergeCell ref="I27:J27"/>
    <mergeCell ref="B29:C29"/>
    <mergeCell ref="E29:F29"/>
    <mergeCell ref="G29:H29"/>
    <mergeCell ref="I29:J29"/>
    <mergeCell ref="B28:C28"/>
    <mergeCell ref="E28:F28"/>
    <mergeCell ref="G28:H28"/>
    <mergeCell ref="I28:J28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21:C21"/>
    <mergeCell ref="E21:F21"/>
    <mergeCell ref="I21:J21"/>
    <mergeCell ref="G21:H21"/>
    <mergeCell ref="B22:C22"/>
    <mergeCell ref="E22:F22"/>
    <mergeCell ref="G22:H22"/>
    <mergeCell ref="I22:J22"/>
    <mergeCell ref="B23:C23"/>
    <mergeCell ref="E23:F23"/>
    <mergeCell ref="G23:H23"/>
    <mergeCell ref="I23:J23"/>
    <mergeCell ref="B15:C15"/>
    <mergeCell ref="D15:E15"/>
    <mergeCell ref="G15:H15"/>
    <mergeCell ref="B14:C14"/>
    <mergeCell ref="D14:E14"/>
    <mergeCell ref="G14:H14"/>
    <mergeCell ref="A18:J18"/>
    <mergeCell ref="A19:A20"/>
    <mergeCell ref="B19:C20"/>
    <mergeCell ref="D19:D20"/>
    <mergeCell ref="E19:F20"/>
    <mergeCell ref="G19:H20"/>
    <mergeCell ref="I19:J20"/>
    <mergeCell ref="B11:C11"/>
    <mergeCell ref="D11:E11"/>
    <mergeCell ref="G11:H11"/>
    <mergeCell ref="B10:C10"/>
    <mergeCell ref="D10:E10"/>
    <mergeCell ref="G10:H10"/>
    <mergeCell ref="B13:C13"/>
    <mergeCell ref="D13:E13"/>
    <mergeCell ref="G13:H13"/>
    <mergeCell ref="B12:C12"/>
    <mergeCell ref="D12:E12"/>
    <mergeCell ref="G12:H12"/>
    <mergeCell ref="B7:C7"/>
    <mergeCell ref="D7:E7"/>
    <mergeCell ref="G7:H7"/>
    <mergeCell ref="B6:C6"/>
    <mergeCell ref="D6:E6"/>
    <mergeCell ref="G6:H6"/>
    <mergeCell ref="B9:C9"/>
    <mergeCell ref="D9:E9"/>
    <mergeCell ref="G9:H9"/>
    <mergeCell ref="B8:C8"/>
    <mergeCell ref="D8:E8"/>
    <mergeCell ref="G8:H8"/>
    <mergeCell ref="A3:J3"/>
    <mergeCell ref="A4:A5"/>
    <mergeCell ref="B4:E4"/>
    <mergeCell ref="F4:F5"/>
    <mergeCell ref="G4:H5"/>
    <mergeCell ref="B5:C5"/>
    <mergeCell ref="D5:E5"/>
    <mergeCell ref="I4:I5"/>
    <mergeCell ref="J4:J5"/>
  </mergeCells>
  <phoneticPr fontId="6" type="noConversion"/>
  <pageMargins left="0.75" right="0.75" top="1" bottom="1" header="0.5" footer="0.5"/>
  <pageSetup paperSize="9" scale="87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59">
    <pageSetUpPr fitToPage="1"/>
  </sheetPr>
  <dimension ref="A1:K85"/>
  <sheetViews>
    <sheetView workbookViewId="0">
      <selection activeCell="M20" sqref="M20"/>
    </sheetView>
  </sheetViews>
  <sheetFormatPr defaultRowHeight="12.75" x14ac:dyDescent="0.2"/>
  <cols>
    <col min="6" max="6" width="16.42578125" bestFit="1" customWidth="1"/>
    <col min="8" max="8" width="13.85546875" customWidth="1"/>
    <col min="9" max="9" width="12.7109375" bestFit="1" customWidth="1"/>
    <col min="10" max="10" width="12.85546875" bestFit="1" customWidth="1"/>
    <col min="11" max="11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745</v>
      </c>
      <c r="B2" s="6"/>
      <c r="C2" s="6"/>
      <c r="D2" s="6"/>
      <c r="E2" s="6"/>
      <c r="F2" s="6"/>
      <c r="G2" s="6"/>
      <c r="H2" s="6"/>
      <c r="I2" s="6"/>
      <c r="J2" s="7" t="s">
        <v>53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28">
        <v>8543372</v>
      </c>
      <c r="C6" s="128"/>
      <c r="D6" s="128">
        <v>8543445</v>
      </c>
      <c r="E6" s="128"/>
      <c r="F6" s="12">
        <v>32643</v>
      </c>
      <c r="G6" s="169" t="s">
        <v>746</v>
      </c>
      <c r="H6" s="169"/>
      <c r="I6" s="32">
        <v>79117.100000000006</v>
      </c>
      <c r="J6" s="32">
        <f>I6*0.8</f>
        <v>63293.680000000008</v>
      </c>
    </row>
    <row r="7" spans="1:10" x14ac:dyDescent="0.2">
      <c r="A7" s="9">
        <v>2</v>
      </c>
      <c r="B7" s="128">
        <v>8545324</v>
      </c>
      <c r="C7" s="128"/>
      <c r="D7" s="128">
        <v>8545383</v>
      </c>
      <c r="E7" s="128"/>
      <c r="F7" s="12">
        <v>32643</v>
      </c>
      <c r="G7" s="169" t="s">
        <v>747</v>
      </c>
      <c r="H7" s="169"/>
      <c r="I7" s="32">
        <v>75727.55</v>
      </c>
      <c r="J7" s="32">
        <f t="shared" ref="J7:J29" si="0">I7*0.8</f>
        <v>60582.040000000008</v>
      </c>
    </row>
    <row r="8" spans="1:10" x14ac:dyDescent="0.2">
      <c r="A8" s="9">
        <v>3</v>
      </c>
      <c r="B8" s="128">
        <v>8547122</v>
      </c>
      <c r="C8" s="128"/>
      <c r="D8" s="128">
        <v>8547491</v>
      </c>
      <c r="E8" s="128"/>
      <c r="F8" s="12">
        <v>33123</v>
      </c>
      <c r="G8" s="169" t="s">
        <v>748</v>
      </c>
      <c r="H8" s="169"/>
      <c r="I8" s="32">
        <v>77455.33</v>
      </c>
      <c r="J8" s="32">
        <f t="shared" si="0"/>
        <v>61964.264000000003</v>
      </c>
    </row>
    <row r="9" spans="1:10" x14ac:dyDescent="0.2">
      <c r="A9" s="9">
        <v>4</v>
      </c>
      <c r="B9" s="128"/>
      <c r="C9" s="128"/>
      <c r="D9" s="128">
        <v>8545308</v>
      </c>
      <c r="E9" s="128"/>
      <c r="F9" s="12">
        <v>33123</v>
      </c>
      <c r="G9" s="169" t="s">
        <v>749</v>
      </c>
      <c r="H9" s="169"/>
      <c r="I9" s="32">
        <v>32647.48</v>
      </c>
      <c r="J9" s="32">
        <f t="shared" si="0"/>
        <v>26117.984</v>
      </c>
    </row>
    <row r="10" spans="1:10" x14ac:dyDescent="0.2">
      <c r="A10" s="9">
        <v>5</v>
      </c>
      <c r="B10" s="128">
        <v>8543097</v>
      </c>
      <c r="C10" s="128"/>
      <c r="D10" s="128">
        <v>8543543</v>
      </c>
      <c r="E10" s="128"/>
      <c r="F10" s="12">
        <v>33123</v>
      </c>
      <c r="G10" s="169" t="s">
        <v>750</v>
      </c>
      <c r="H10" s="169"/>
      <c r="I10" s="32">
        <v>38412</v>
      </c>
      <c r="J10" s="32">
        <f t="shared" si="0"/>
        <v>30729.600000000002</v>
      </c>
    </row>
    <row r="11" spans="1:10" x14ac:dyDescent="0.2">
      <c r="A11" s="9">
        <v>6</v>
      </c>
      <c r="B11" s="128">
        <v>8543313</v>
      </c>
      <c r="C11" s="128"/>
      <c r="D11" s="128">
        <v>8543461</v>
      </c>
      <c r="E11" s="128"/>
      <c r="F11" s="12">
        <v>33123</v>
      </c>
      <c r="G11" s="169" t="s">
        <v>751</v>
      </c>
      <c r="H11" s="169"/>
      <c r="I11" s="32">
        <v>71475.3</v>
      </c>
      <c r="J11" s="32">
        <f t="shared" si="0"/>
        <v>57180.240000000005</v>
      </c>
    </row>
    <row r="12" spans="1:10" x14ac:dyDescent="0.2">
      <c r="A12" s="9">
        <v>7</v>
      </c>
      <c r="B12" s="128">
        <v>8541477</v>
      </c>
      <c r="C12" s="128"/>
      <c r="D12" s="128">
        <v>8541612</v>
      </c>
      <c r="E12" s="128"/>
      <c r="F12" s="12">
        <v>33123</v>
      </c>
      <c r="G12" s="169" t="s">
        <v>752</v>
      </c>
      <c r="H12" s="169"/>
      <c r="I12" s="32">
        <v>77952.429999999993</v>
      </c>
      <c r="J12" s="32">
        <f t="shared" si="0"/>
        <v>62361.943999999996</v>
      </c>
    </row>
    <row r="13" spans="1:10" x14ac:dyDescent="0.2">
      <c r="A13" s="9">
        <v>8</v>
      </c>
      <c r="B13" s="128"/>
      <c r="C13" s="128"/>
      <c r="D13" s="128">
        <v>8537712</v>
      </c>
      <c r="E13" s="128"/>
      <c r="F13" s="12">
        <v>33123</v>
      </c>
      <c r="G13" s="169" t="s">
        <v>753</v>
      </c>
      <c r="H13" s="169"/>
      <c r="I13" s="32">
        <v>68533.259999999995</v>
      </c>
      <c r="J13" s="32">
        <f t="shared" si="0"/>
        <v>54826.608</v>
      </c>
    </row>
    <row r="14" spans="1:10" x14ac:dyDescent="0.2">
      <c r="A14" s="9">
        <v>9</v>
      </c>
      <c r="B14" s="128"/>
      <c r="C14" s="128"/>
      <c r="D14" s="128">
        <v>8537801</v>
      </c>
      <c r="E14" s="128"/>
      <c r="F14" s="12">
        <v>33123</v>
      </c>
      <c r="G14" s="169" t="s">
        <v>754</v>
      </c>
      <c r="H14" s="169"/>
      <c r="I14" s="32">
        <v>32521.18</v>
      </c>
      <c r="J14" s="32">
        <f t="shared" si="0"/>
        <v>26016.944000000003</v>
      </c>
    </row>
    <row r="15" spans="1:10" x14ac:dyDescent="0.2">
      <c r="A15" s="9">
        <v>10</v>
      </c>
      <c r="B15" s="128"/>
      <c r="C15" s="128"/>
      <c r="D15" s="128">
        <v>8533822</v>
      </c>
      <c r="E15" s="128"/>
      <c r="F15" s="12">
        <v>33123</v>
      </c>
      <c r="G15" s="169" t="s">
        <v>755</v>
      </c>
      <c r="H15" s="169"/>
      <c r="I15" s="32">
        <v>53597.63</v>
      </c>
      <c r="J15" s="32">
        <f t="shared" si="0"/>
        <v>42878.103999999999</v>
      </c>
    </row>
    <row r="16" spans="1:10" x14ac:dyDescent="0.2">
      <c r="A16" s="9">
        <v>11</v>
      </c>
      <c r="B16" s="128">
        <v>8558302</v>
      </c>
      <c r="C16" s="128"/>
      <c r="D16" s="128">
        <v>8558434</v>
      </c>
      <c r="E16" s="128"/>
      <c r="F16" s="12">
        <v>34589</v>
      </c>
      <c r="G16" s="169" t="s">
        <v>756</v>
      </c>
      <c r="H16" s="169"/>
      <c r="I16" s="32">
        <v>57681.71</v>
      </c>
      <c r="J16" s="32">
        <f t="shared" si="0"/>
        <v>46145.368000000002</v>
      </c>
    </row>
    <row r="17" spans="1:11" x14ac:dyDescent="0.2">
      <c r="A17" s="9">
        <v>12</v>
      </c>
      <c r="B17" s="128">
        <v>8535930</v>
      </c>
      <c r="C17" s="128"/>
      <c r="D17" s="128">
        <v>8536023</v>
      </c>
      <c r="E17" s="128"/>
      <c r="F17" s="12">
        <v>34589</v>
      </c>
      <c r="G17" s="169" t="s">
        <v>757</v>
      </c>
      <c r="H17" s="169"/>
      <c r="I17" s="32">
        <v>74839.86</v>
      </c>
      <c r="J17" s="32">
        <f t="shared" si="0"/>
        <v>59871.888000000006</v>
      </c>
    </row>
    <row r="18" spans="1:11" x14ac:dyDescent="0.2">
      <c r="A18" s="9">
        <v>13</v>
      </c>
      <c r="B18" s="128">
        <v>8552649</v>
      </c>
      <c r="C18" s="128"/>
      <c r="D18" s="128">
        <v>8552940</v>
      </c>
      <c r="E18" s="128"/>
      <c r="F18" s="12">
        <v>35039</v>
      </c>
      <c r="G18" s="169" t="s">
        <v>758</v>
      </c>
      <c r="H18" s="169"/>
      <c r="I18" s="32">
        <v>85359.64</v>
      </c>
      <c r="J18" s="32">
        <f t="shared" si="0"/>
        <v>68287.712</v>
      </c>
    </row>
    <row r="19" spans="1:11" x14ac:dyDescent="0.2">
      <c r="A19" s="9">
        <v>14</v>
      </c>
      <c r="B19" s="128">
        <v>8545235</v>
      </c>
      <c r="C19" s="128"/>
      <c r="D19" s="128">
        <v>8545413</v>
      </c>
      <c r="E19" s="128"/>
      <c r="F19" s="12">
        <v>35081</v>
      </c>
      <c r="G19" s="169" t="s">
        <v>759</v>
      </c>
      <c r="H19" s="169"/>
      <c r="I19" s="32">
        <v>111452.2</v>
      </c>
      <c r="J19" s="32">
        <f t="shared" si="0"/>
        <v>89161.760000000009</v>
      </c>
    </row>
    <row r="20" spans="1:11" x14ac:dyDescent="0.2">
      <c r="A20" s="9">
        <v>15</v>
      </c>
      <c r="B20" s="128">
        <v>8537615</v>
      </c>
      <c r="C20" s="128"/>
      <c r="D20" s="128">
        <v>8537917</v>
      </c>
      <c r="E20" s="128"/>
      <c r="F20" s="12">
        <v>35081</v>
      </c>
      <c r="G20" s="169" t="s">
        <v>760</v>
      </c>
      <c r="H20" s="169"/>
      <c r="I20" s="32">
        <v>102117.15</v>
      </c>
      <c r="J20" s="32">
        <f t="shared" si="0"/>
        <v>81693.72</v>
      </c>
    </row>
    <row r="21" spans="1:11" x14ac:dyDescent="0.2">
      <c r="A21" s="9">
        <v>16</v>
      </c>
      <c r="B21" s="128">
        <v>8552754</v>
      </c>
      <c r="C21" s="128"/>
      <c r="D21" s="128">
        <v>8552983</v>
      </c>
      <c r="E21" s="128"/>
      <c r="F21" s="12">
        <v>35081</v>
      </c>
      <c r="G21" s="169" t="s">
        <v>761</v>
      </c>
      <c r="H21" s="169"/>
      <c r="I21" s="32">
        <v>95930.2</v>
      </c>
      <c r="J21" s="32">
        <f t="shared" si="0"/>
        <v>76744.160000000003</v>
      </c>
    </row>
    <row r="22" spans="1:11" x14ac:dyDescent="0.2">
      <c r="A22" s="9">
        <v>17</v>
      </c>
      <c r="B22" s="128">
        <v>8550670</v>
      </c>
      <c r="C22" s="128"/>
      <c r="D22" s="128">
        <v>8551049</v>
      </c>
      <c r="E22" s="128"/>
      <c r="F22" s="12">
        <v>35564</v>
      </c>
      <c r="G22" s="169" t="s">
        <v>762</v>
      </c>
      <c r="H22" s="169"/>
      <c r="I22" s="32">
        <v>83949.87</v>
      </c>
      <c r="J22" s="32">
        <f t="shared" si="0"/>
        <v>67159.895999999993</v>
      </c>
    </row>
    <row r="23" spans="1:11" x14ac:dyDescent="0.2">
      <c r="A23" s="9">
        <v>18</v>
      </c>
      <c r="B23" s="128">
        <v>8535795</v>
      </c>
      <c r="C23" s="128"/>
      <c r="D23" s="128">
        <v>8536031</v>
      </c>
      <c r="E23" s="128"/>
      <c r="F23" s="12">
        <v>35564</v>
      </c>
      <c r="G23" s="169" t="s">
        <v>763</v>
      </c>
      <c r="H23" s="169"/>
      <c r="I23" s="32">
        <v>93066.38</v>
      </c>
      <c r="J23" s="32">
        <f t="shared" si="0"/>
        <v>74453.104000000007</v>
      </c>
    </row>
    <row r="24" spans="1:11" x14ac:dyDescent="0.2">
      <c r="A24" s="9">
        <v>19</v>
      </c>
      <c r="B24" s="128">
        <v>8533857</v>
      </c>
      <c r="C24" s="128"/>
      <c r="D24" s="128">
        <v>8534330</v>
      </c>
      <c r="E24" s="128"/>
      <c r="F24" s="12">
        <v>35901</v>
      </c>
      <c r="G24" s="169" t="s">
        <v>764</v>
      </c>
      <c r="H24" s="169"/>
      <c r="I24" s="32">
        <v>133868.66</v>
      </c>
      <c r="J24" s="32">
        <f t="shared" si="0"/>
        <v>107094.92800000001</v>
      </c>
    </row>
    <row r="25" spans="1:11" x14ac:dyDescent="0.2">
      <c r="A25" s="9">
        <v>20</v>
      </c>
      <c r="B25" s="128">
        <v>8533865</v>
      </c>
      <c r="C25" s="128"/>
      <c r="D25" s="128">
        <v>8534349</v>
      </c>
      <c r="E25" s="128"/>
      <c r="F25" s="12">
        <v>35901</v>
      </c>
      <c r="G25" s="169" t="s">
        <v>765</v>
      </c>
      <c r="H25" s="169"/>
      <c r="I25" s="32">
        <v>118361.94</v>
      </c>
      <c r="J25" s="32">
        <f t="shared" si="0"/>
        <v>94689.552000000011</v>
      </c>
    </row>
    <row r="26" spans="1:11" x14ac:dyDescent="0.2">
      <c r="A26" s="9">
        <v>21</v>
      </c>
      <c r="B26" s="128">
        <v>8541388</v>
      </c>
      <c r="C26" s="128"/>
      <c r="D26" s="128">
        <v>8541647</v>
      </c>
      <c r="E26" s="128"/>
      <c r="F26" s="12">
        <v>35564</v>
      </c>
      <c r="G26" s="169" t="s">
        <v>766</v>
      </c>
      <c r="H26" s="169"/>
      <c r="I26" s="32">
        <v>84276.12</v>
      </c>
      <c r="J26" s="32">
        <f t="shared" si="0"/>
        <v>67420.895999999993</v>
      </c>
    </row>
    <row r="27" spans="1:11" x14ac:dyDescent="0.2">
      <c r="A27" s="9">
        <v>22</v>
      </c>
      <c r="B27" s="128">
        <v>8541337</v>
      </c>
      <c r="C27" s="128"/>
      <c r="D27" s="128">
        <v>8541655</v>
      </c>
      <c r="E27" s="128"/>
      <c r="F27" s="12">
        <v>35564</v>
      </c>
      <c r="G27" s="169" t="s">
        <v>767</v>
      </c>
      <c r="H27" s="169"/>
      <c r="I27" s="32">
        <v>46053.760000000002</v>
      </c>
      <c r="J27" s="32">
        <f t="shared" si="0"/>
        <v>36843.008000000002</v>
      </c>
      <c r="K27" s="107"/>
    </row>
    <row r="28" spans="1:11" ht="12.75" customHeight="1" x14ac:dyDescent="0.2">
      <c r="A28" s="9">
        <v>23</v>
      </c>
      <c r="B28" s="128">
        <v>8554323</v>
      </c>
      <c r="C28" s="128"/>
      <c r="D28" s="128">
        <v>8554854</v>
      </c>
      <c r="E28" s="128"/>
      <c r="F28" s="12">
        <v>43446</v>
      </c>
      <c r="G28" s="169"/>
      <c r="H28" s="169"/>
      <c r="I28" s="32">
        <v>437906.61</v>
      </c>
      <c r="J28" s="32">
        <f t="shared" si="0"/>
        <v>350325.288</v>
      </c>
    </row>
    <row r="29" spans="1:11" ht="12.75" customHeight="1" x14ac:dyDescent="0.2">
      <c r="A29" s="9">
        <v>24</v>
      </c>
      <c r="B29" s="128">
        <v>8537658</v>
      </c>
      <c r="C29" s="128"/>
      <c r="D29" s="128">
        <v>8538042</v>
      </c>
      <c r="E29" s="128"/>
      <c r="F29" s="12">
        <v>45139</v>
      </c>
      <c r="G29" s="169"/>
      <c r="H29" s="169"/>
      <c r="I29" s="32">
        <v>384795.3</v>
      </c>
      <c r="J29" s="32">
        <f t="shared" si="0"/>
        <v>307836.24</v>
      </c>
    </row>
    <row r="30" spans="1:11" ht="12.75" customHeight="1" x14ac:dyDescent="0.2">
      <c r="A30" s="9"/>
      <c r="B30" s="128"/>
      <c r="C30" s="128"/>
      <c r="D30" s="128"/>
      <c r="E30" s="128"/>
      <c r="F30" s="12"/>
      <c r="G30" s="169"/>
      <c r="H30" s="169"/>
      <c r="I30" s="32"/>
      <c r="J30" s="32"/>
    </row>
    <row r="31" spans="1:1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33">
        <f>SUM(I6:I29)</f>
        <v>2517098.6599999997</v>
      </c>
      <c r="J31" s="33">
        <f>SUM(J6:J29)</f>
        <v>2013678.9279999998</v>
      </c>
    </row>
    <row r="32" spans="1:1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31" t="s">
        <v>34</v>
      </c>
      <c r="B33" s="132"/>
      <c r="C33" s="132"/>
      <c r="D33" s="132"/>
      <c r="E33" s="132"/>
      <c r="F33" s="132"/>
      <c r="G33" s="132"/>
      <c r="H33" s="132"/>
      <c r="I33" s="132"/>
      <c r="J33" s="133"/>
    </row>
    <row r="34" spans="1:10" x14ac:dyDescent="0.2">
      <c r="A34" s="169" t="s">
        <v>23</v>
      </c>
      <c r="B34" s="169" t="s">
        <v>35</v>
      </c>
      <c r="C34" s="169"/>
      <c r="D34" s="169" t="s">
        <v>36</v>
      </c>
      <c r="E34" s="169" t="s">
        <v>37</v>
      </c>
      <c r="F34" s="169"/>
      <c r="G34" s="169" t="s">
        <v>38</v>
      </c>
      <c r="H34" s="169"/>
      <c r="I34" s="169" t="s">
        <v>39</v>
      </c>
      <c r="J34" s="169"/>
    </row>
    <row r="35" spans="1:10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x14ac:dyDescent="0.2">
      <c r="A36" s="9">
        <v>1</v>
      </c>
      <c r="B36" s="183" t="s">
        <v>768</v>
      </c>
      <c r="C36" s="128"/>
      <c r="D36" s="9">
        <v>4331</v>
      </c>
      <c r="E36" s="182">
        <v>35034</v>
      </c>
      <c r="F36" s="128"/>
      <c r="G36" s="387" t="s">
        <v>769</v>
      </c>
      <c r="H36" s="128"/>
      <c r="I36" s="136">
        <f>31636+34569</f>
        <v>66205</v>
      </c>
      <c r="J36" s="136"/>
    </row>
    <row r="37" spans="1:10" x14ac:dyDescent="0.2">
      <c r="A37" s="9">
        <v>2</v>
      </c>
      <c r="B37" s="183" t="s">
        <v>770</v>
      </c>
      <c r="C37" s="128"/>
      <c r="D37" s="9">
        <v>3750</v>
      </c>
      <c r="E37" s="182">
        <v>34243</v>
      </c>
      <c r="F37" s="128"/>
      <c r="G37" s="128"/>
      <c r="H37" s="128"/>
      <c r="I37" s="136">
        <v>35585</v>
      </c>
      <c r="J37" s="136"/>
    </row>
    <row r="38" spans="1:10" x14ac:dyDescent="0.2">
      <c r="A38" s="9">
        <v>3</v>
      </c>
      <c r="B38" s="183" t="s">
        <v>771</v>
      </c>
      <c r="C38" s="128"/>
      <c r="D38" s="9">
        <v>7301</v>
      </c>
      <c r="E38" s="182">
        <v>34213</v>
      </c>
      <c r="F38" s="128"/>
      <c r="G38" s="128" t="s">
        <v>772</v>
      </c>
      <c r="H38" s="128"/>
      <c r="I38" s="136">
        <v>128831</v>
      </c>
      <c r="J38" s="136"/>
    </row>
    <row r="39" spans="1:10" x14ac:dyDescent="0.2">
      <c r="A39" s="9">
        <v>4</v>
      </c>
      <c r="B39" s="183" t="s">
        <v>773</v>
      </c>
      <c r="C39" s="128"/>
      <c r="D39" s="9">
        <v>8382</v>
      </c>
      <c r="E39" s="182">
        <v>35125</v>
      </c>
      <c r="F39" s="128"/>
      <c r="G39" s="128">
        <v>8511001</v>
      </c>
      <c r="H39" s="128"/>
      <c r="I39" s="136">
        <v>39805</v>
      </c>
      <c r="J39" s="136"/>
    </row>
    <row r="40" spans="1:10" x14ac:dyDescent="0.2">
      <c r="A40" s="9">
        <v>5</v>
      </c>
      <c r="B40" s="183" t="s">
        <v>774</v>
      </c>
      <c r="C40" s="128"/>
      <c r="D40" s="9">
        <v>5785</v>
      </c>
      <c r="E40" s="182">
        <v>35125</v>
      </c>
      <c r="F40" s="128"/>
      <c r="G40" s="128">
        <v>8509001</v>
      </c>
      <c r="H40" s="128"/>
      <c r="I40" s="136">
        <v>40567</v>
      </c>
      <c r="J40" s="136"/>
    </row>
    <row r="41" spans="1:10" x14ac:dyDescent="0.2">
      <c r="A41" s="9">
        <v>6</v>
      </c>
      <c r="B41" s="183" t="s">
        <v>775</v>
      </c>
      <c r="C41" s="128"/>
      <c r="D41" s="9">
        <v>8380</v>
      </c>
      <c r="E41" s="182">
        <v>34881</v>
      </c>
      <c r="F41" s="128"/>
      <c r="G41" s="183" t="s">
        <v>776</v>
      </c>
      <c r="H41" s="128"/>
      <c r="I41" s="136">
        <v>43715</v>
      </c>
      <c r="J41" s="136"/>
    </row>
    <row r="42" spans="1:10" x14ac:dyDescent="0.2">
      <c r="A42" s="9">
        <v>7</v>
      </c>
      <c r="B42" s="183" t="s">
        <v>777</v>
      </c>
      <c r="C42" s="128"/>
      <c r="D42" s="9">
        <v>10842</v>
      </c>
      <c r="E42" s="182">
        <v>36008</v>
      </c>
      <c r="F42" s="128"/>
      <c r="G42" s="183" t="s">
        <v>778</v>
      </c>
      <c r="H42" s="128"/>
      <c r="I42" s="136">
        <v>68153</v>
      </c>
      <c r="J42" s="136"/>
    </row>
    <row r="43" spans="1:10" x14ac:dyDescent="0.2">
      <c r="A43" s="9">
        <v>8</v>
      </c>
      <c r="B43" s="183" t="s">
        <v>779</v>
      </c>
      <c r="C43" s="128"/>
      <c r="D43" s="9">
        <v>10847</v>
      </c>
      <c r="E43" s="182">
        <v>36342</v>
      </c>
      <c r="F43" s="128"/>
      <c r="G43" s="183" t="s">
        <v>780</v>
      </c>
      <c r="H43" s="128"/>
      <c r="I43" s="136">
        <v>89503</v>
      </c>
      <c r="J43" s="136"/>
    </row>
    <row r="44" spans="1:10" x14ac:dyDescent="0.2">
      <c r="A44" s="9">
        <v>9</v>
      </c>
      <c r="B44" s="183" t="s">
        <v>781</v>
      </c>
      <c r="C44" s="128"/>
      <c r="D44" s="9">
        <v>10848</v>
      </c>
      <c r="E44" s="182">
        <v>35674</v>
      </c>
      <c r="F44" s="128"/>
      <c r="G44" s="183" t="s">
        <v>782</v>
      </c>
      <c r="H44" s="128"/>
      <c r="I44" s="136">
        <v>75476</v>
      </c>
      <c r="J44" s="136"/>
    </row>
    <row r="45" spans="1:10" x14ac:dyDescent="0.2">
      <c r="A45" s="9">
        <v>10</v>
      </c>
      <c r="B45" s="183" t="s">
        <v>783</v>
      </c>
      <c r="C45" s="128"/>
      <c r="D45" s="9">
        <v>9938</v>
      </c>
      <c r="E45" s="182">
        <v>35765</v>
      </c>
      <c r="F45" s="128"/>
      <c r="G45" s="183" t="s">
        <v>784</v>
      </c>
      <c r="H45" s="128"/>
      <c r="I45" s="136">
        <v>69947</v>
      </c>
      <c r="J45" s="136"/>
    </row>
    <row r="46" spans="1:10" x14ac:dyDescent="0.2">
      <c r="A46" s="9">
        <v>11</v>
      </c>
      <c r="B46" s="183" t="s">
        <v>785</v>
      </c>
      <c r="C46" s="128"/>
      <c r="D46" s="9">
        <v>14024</v>
      </c>
      <c r="E46" s="182">
        <v>36342</v>
      </c>
      <c r="F46" s="128"/>
      <c r="G46" s="183" t="s">
        <v>786</v>
      </c>
      <c r="H46" s="128"/>
      <c r="I46" s="136">
        <v>49757</v>
      </c>
      <c r="J46" s="136"/>
    </row>
    <row r="47" spans="1:10" x14ac:dyDescent="0.2">
      <c r="A47" s="9">
        <v>12</v>
      </c>
      <c r="B47" s="183" t="s">
        <v>787</v>
      </c>
      <c r="C47" s="128"/>
      <c r="D47" s="9">
        <v>14327</v>
      </c>
      <c r="E47" s="182">
        <v>36586</v>
      </c>
      <c r="F47" s="128"/>
      <c r="G47" s="183" t="s">
        <v>788</v>
      </c>
      <c r="H47" s="128"/>
      <c r="I47" s="136">
        <v>38180</v>
      </c>
      <c r="J47" s="136"/>
    </row>
    <row r="48" spans="1:10" x14ac:dyDescent="0.2">
      <c r="A48" s="9">
        <v>13</v>
      </c>
      <c r="B48" s="183" t="s">
        <v>789</v>
      </c>
      <c r="C48" s="128"/>
      <c r="D48" s="9">
        <v>14025</v>
      </c>
      <c r="E48" s="182">
        <v>36342</v>
      </c>
      <c r="F48" s="128"/>
      <c r="G48" s="183" t="s">
        <v>786</v>
      </c>
      <c r="H48" s="128"/>
      <c r="I48" s="136">
        <v>58328</v>
      </c>
      <c r="J48" s="136"/>
    </row>
    <row r="49" spans="1:10" x14ac:dyDescent="0.2">
      <c r="A49" s="9">
        <v>14</v>
      </c>
      <c r="B49" s="183" t="s">
        <v>790</v>
      </c>
      <c r="C49" s="128"/>
      <c r="D49" s="9">
        <v>14329</v>
      </c>
      <c r="E49" s="182">
        <v>36861</v>
      </c>
      <c r="F49" s="128"/>
      <c r="G49" s="183" t="s">
        <v>791</v>
      </c>
      <c r="H49" s="128"/>
      <c r="I49" s="136">
        <v>46333</v>
      </c>
      <c r="J49" s="136"/>
    </row>
    <row r="50" spans="1:10" x14ac:dyDescent="0.2">
      <c r="A50" s="27">
        <v>15</v>
      </c>
      <c r="B50" s="267" t="s">
        <v>792</v>
      </c>
      <c r="C50" s="266"/>
      <c r="D50" s="27">
        <v>14328</v>
      </c>
      <c r="E50" s="265">
        <v>36678</v>
      </c>
      <c r="F50" s="266"/>
      <c r="G50" s="267" t="s">
        <v>793</v>
      </c>
      <c r="H50" s="266"/>
      <c r="I50" s="304">
        <v>102111</v>
      </c>
      <c r="J50" s="304"/>
    </row>
    <row r="51" spans="1:10" x14ac:dyDescent="0.2">
      <c r="A51" s="57">
        <v>16</v>
      </c>
      <c r="B51" s="160"/>
      <c r="C51" s="161"/>
      <c r="D51" s="57">
        <v>82690</v>
      </c>
      <c r="E51" s="162">
        <v>41836</v>
      </c>
      <c r="F51" s="163"/>
      <c r="G51" s="164" t="s">
        <v>1033</v>
      </c>
      <c r="H51" s="161"/>
      <c r="I51" s="166">
        <v>31892.69</v>
      </c>
      <c r="J51" s="167"/>
    </row>
    <row r="52" spans="1:10" x14ac:dyDescent="0.2">
      <c r="A52" s="57">
        <v>17</v>
      </c>
      <c r="B52" s="160"/>
      <c r="C52" s="161"/>
      <c r="D52" s="57">
        <v>83700</v>
      </c>
      <c r="E52" s="162">
        <v>41836</v>
      </c>
      <c r="F52" s="163"/>
      <c r="G52" s="164" t="s">
        <v>1032</v>
      </c>
      <c r="H52" s="161"/>
      <c r="I52" s="166">
        <v>57046.1</v>
      </c>
      <c r="J52" s="167"/>
    </row>
    <row r="53" spans="1:10" x14ac:dyDescent="0.2">
      <c r="A53" s="57">
        <v>18</v>
      </c>
      <c r="B53" s="160"/>
      <c r="C53" s="161"/>
      <c r="D53" s="57">
        <v>83701</v>
      </c>
      <c r="E53" s="162">
        <v>41870</v>
      </c>
      <c r="F53" s="163"/>
      <c r="G53" s="164" t="s">
        <v>795</v>
      </c>
      <c r="H53" s="161"/>
      <c r="I53" s="166">
        <v>50176.23</v>
      </c>
      <c r="J53" s="167"/>
    </row>
    <row r="54" spans="1:10" x14ac:dyDescent="0.2">
      <c r="A54" s="57">
        <v>19</v>
      </c>
      <c r="B54" s="160"/>
      <c r="C54" s="161"/>
      <c r="D54" s="57">
        <v>83697</v>
      </c>
      <c r="E54" s="162">
        <v>41774</v>
      </c>
      <c r="F54" s="163"/>
      <c r="G54" s="164" t="s">
        <v>1015</v>
      </c>
      <c r="H54" s="161"/>
      <c r="I54" s="166">
        <v>69563.47</v>
      </c>
      <c r="J54" s="167"/>
    </row>
    <row r="55" spans="1:10" x14ac:dyDescent="0.2">
      <c r="A55" s="57">
        <v>20</v>
      </c>
      <c r="B55" s="160"/>
      <c r="C55" s="161"/>
      <c r="D55" s="57">
        <v>85068</v>
      </c>
      <c r="E55" s="162"/>
      <c r="F55" s="163"/>
      <c r="G55" s="164" t="s">
        <v>796</v>
      </c>
      <c r="H55" s="161"/>
      <c r="I55" s="166">
        <f>69053.77*1.05+2973+428.32</f>
        <v>75907.778500000015</v>
      </c>
      <c r="J55" s="167"/>
    </row>
    <row r="56" spans="1:10" x14ac:dyDescent="0.2">
      <c r="A56" s="57">
        <v>21</v>
      </c>
      <c r="B56" s="160">
        <v>437809</v>
      </c>
      <c r="C56" s="161"/>
      <c r="D56" s="57">
        <v>85065</v>
      </c>
      <c r="E56" s="162">
        <v>43201</v>
      </c>
      <c r="F56" s="163"/>
      <c r="G56" s="164" t="s">
        <v>797</v>
      </c>
      <c r="H56" s="161"/>
      <c r="I56" s="166">
        <v>47674.16</v>
      </c>
      <c r="J56" s="167"/>
    </row>
    <row r="57" spans="1:10" x14ac:dyDescent="0.2">
      <c r="A57" s="57">
        <v>23</v>
      </c>
      <c r="B57" s="164"/>
      <c r="C57" s="165"/>
      <c r="D57" s="19">
        <v>85059</v>
      </c>
      <c r="E57" s="164"/>
      <c r="F57" s="165"/>
      <c r="G57" s="164" t="s">
        <v>798</v>
      </c>
      <c r="H57" s="165"/>
      <c r="I57" s="166">
        <f>57407.15*1.05+1690.5+200</f>
        <v>62168.007500000007</v>
      </c>
      <c r="J57" s="167"/>
    </row>
    <row r="58" spans="1:10" x14ac:dyDescent="0.2">
      <c r="A58" s="57">
        <v>24</v>
      </c>
      <c r="B58" s="164"/>
      <c r="C58" s="165"/>
      <c r="D58" s="19">
        <v>85064</v>
      </c>
      <c r="E58" s="162">
        <v>43035</v>
      </c>
      <c r="F58" s="165"/>
      <c r="G58" s="164" t="s">
        <v>799</v>
      </c>
      <c r="H58" s="165"/>
      <c r="I58" s="166">
        <v>46381.41</v>
      </c>
      <c r="J58" s="167"/>
    </row>
    <row r="59" spans="1:10" x14ac:dyDescent="0.2">
      <c r="A59" s="57">
        <v>25</v>
      </c>
      <c r="B59" s="164"/>
      <c r="C59" s="165"/>
      <c r="D59" s="19">
        <v>87527</v>
      </c>
      <c r="E59" s="162">
        <v>43214</v>
      </c>
      <c r="F59" s="165"/>
      <c r="G59" s="164" t="s">
        <v>825</v>
      </c>
      <c r="H59" s="165"/>
      <c r="I59" s="166">
        <v>84063.52</v>
      </c>
      <c r="J59" s="167"/>
    </row>
    <row r="60" spans="1:10" x14ac:dyDescent="0.2">
      <c r="A60" s="57">
        <v>26</v>
      </c>
      <c r="B60" s="164"/>
      <c r="C60" s="165"/>
      <c r="D60" s="19">
        <v>87526</v>
      </c>
      <c r="E60" s="162">
        <v>42214</v>
      </c>
      <c r="F60" s="165"/>
      <c r="G60" s="164" t="s">
        <v>826</v>
      </c>
      <c r="H60" s="165"/>
      <c r="I60" s="166">
        <v>67792.97</v>
      </c>
      <c r="J60" s="167"/>
    </row>
    <row r="61" spans="1:10" x14ac:dyDescent="0.2">
      <c r="A61" s="19"/>
      <c r="B61" s="164"/>
      <c r="C61" s="165"/>
      <c r="D61" s="19">
        <v>87270</v>
      </c>
      <c r="E61" s="164" t="s">
        <v>864</v>
      </c>
      <c r="F61" s="165"/>
      <c r="G61" s="164"/>
      <c r="H61" s="165"/>
      <c r="I61" s="166">
        <v>15052.8</v>
      </c>
      <c r="J61" s="167"/>
    </row>
    <row r="62" spans="1:10" x14ac:dyDescent="0.2">
      <c r="A62" s="57"/>
      <c r="B62" s="164"/>
      <c r="C62" s="165"/>
      <c r="D62" s="19">
        <v>88870</v>
      </c>
      <c r="E62" s="164" t="s">
        <v>912</v>
      </c>
      <c r="F62" s="165"/>
      <c r="G62" s="164"/>
      <c r="H62" s="165"/>
      <c r="I62" s="166">
        <v>4160.8</v>
      </c>
      <c r="J62" s="167"/>
    </row>
    <row r="63" spans="1:10" x14ac:dyDescent="0.2">
      <c r="A63" s="57"/>
      <c r="B63" s="164"/>
      <c r="C63" s="165"/>
      <c r="D63" s="19">
        <v>90189</v>
      </c>
      <c r="E63" s="164" t="s">
        <v>939</v>
      </c>
      <c r="F63" s="165"/>
      <c r="G63" s="164"/>
      <c r="H63" s="165"/>
      <c r="I63" s="166">
        <v>13040.4</v>
      </c>
      <c r="J63" s="167"/>
    </row>
    <row r="64" spans="1:10" x14ac:dyDescent="0.2">
      <c r="A64" s="57"/>
      <c r="B64" s="164"/>
      <c r="C64" s="165"/>
      <c r="D64" s="19">
        <v>92742</v>
      </c>
      <c r="E64" s="164" t="s">
        <v>1009</v>
      </c>
      <c r="F64" s="165"/>
      <c r="G64" s="164"/>
      <c r="H64" s="165"/>
      <c r="I64" s="166">
        <v>22784.6</v>
      </c>
      <c r="J64" s="167"/>
    </row>
    <row r="65" spans="1:10" x14ac:dyDescent="0.2">
      <c r="A65" s="57"/>
      <c r="B65" s="164"/>
      <c r="C65" s="165"/>
      <c r="D65" s="19">
        <v>96882</v>
      </c>
      <c r="E65" s="162">
        <v>43615</v>
      </c>
      <c r="F65" s="165"/>
      <c r="G65" s="164" t="s">
        <v>1073</v>
      </c>
      <c r="H65" s="165"/>
      <c r="I65" s="166">
        <v>90575.039999999994</v>
      </c>
      <c r="J65" s="167"/>
    </row>
    <row r="66" spans="1:10" x14ac:dyDescent="0.2">
      <c r="A66" s="27"/>
      <c r="B66" s="192"/>
      <c r="C66" s="204"/>
      <c r="D66" s="9">
        <v>106881</v>
      </c>
      <c r="E66" s="192"/>
      <c r="F66" s="204"/>
      <c r="G66" s="192" t="s">
        <v>1254</v>
      </c>
      <c r="H66" s="204"/>
      <c r="I66" s="194">
        <v>196485.47</v>
      </c>
      <c r="J66" s="195"/>
    </row>
    <row r="67" spans="1:10" x14ac:dyDescent="0.2">
      <c r="A67" s="91"/>
      <c r="B67" s="320"/>
      <c r="C67" s="321"/>
      <c r="D67" s="58">
        <v>108931</v>
      </c>
      <c r="E67" s="320"/>
      <c r="F67" s="321"/>
      <c r="G67" s="320" t="s">
        <v>1310</v>
      </c>
      <c r="H67" s="321"/>
      <c r="I67" s="323">
        <v>133950</v>
      </c>
      <c r="J67" s="324"/>
    </row>
    <row r="68" spans="1:10" x14ac:dyDescent="0.2">
      <c r="A68" s="91"/>
      <c r="B68" s="320"/>
      <c r="C68" s="321"/>
      <c r="D68" s="58">
        <v>115791</v>
      </c>
      <c r="E68" s="320"/>
      <c r="F68" s="321"/>
      <c r="G68" s="320" t="s">
        <v>1476</v>
      </c>
      <c r="H68" s="321"/>
      <c r="I68" s="323">
        <v>133950</v>
      </c>
      <c r="J68" s="324"/>
    </row>
    <row r="69" spans="1:10" x14ac:dyDescent="0.2">
      <c r="A69" s="30"/>
      <c r="B69" s="272"/>
      <c r="C69" s="278"/>
      <c r="D69" s="26"/>
      <c r="E69" s="277"/>
      <c r="F69" s="278"/>
      <c r="G69" s="272"/>
      <c r="H69" s="278"/>
      <c r="I69" s="273"/>
      <c r="J69" s="274"/>
    </row>
    <row r="70" spans="1:10" x14ac:dyDescent="0.2">
      <c r="A70" s="26"/>
      <c r="B70" s="272"/>
      <c r="C70" s="278"/>
      <c r="D70" s="26"/>
      <c r="E70" s="272"/>
      <c r="F70" s="278"/>
      <c r="G70" s="272"/>
      <c r="H70" s="278"/>
      <c r="I70" s="273"/>
      <c r="J70" s="274"/>
    </row>
    <row r="71" spans="1:10" x14ac:dyDescent="0.2">
      <c r="A71" s="13"/>
      <c r="B71" s="13"/>
      <c r="C71" s="13"/>
      <c r="D71" s="13"/>
      <c r="E71" s="13"/>
      <c r="F71" s="13"/>
      <c r="G71" s="13"/>
      <c r="H71" s="13" t="s">
        <v>33</v>
      </c>
      <c r="I71" s="140">
        <f>SUM(I36:J70)</f>
        <v>2155161.446</v>
      </c>
      <c r="J71" s="140"/>
    </row>
    <row r="72" spans="1:10" x14ac:dyDescent="0.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5" x14ac:dyDescent="0.25">
      <c r="A73" s="15" t="s">
        <v>46</v>
      </c>
      <c r="B73" s="16"/>
      <c r="C73" s="16"/>
      <c r="D73" s="16"/>
      <c r="E73" s="16"/>
      <c r="F73" s="16"/>
      <c r="G73" s="16"/>
      <c r="H73" s="16"/>
      <c r="I73" s="149" t="s">
        <v>47</v>
      </c>
      <c r="J73" s="150"/>
    </row>
    <row r="74" spans="1:10" x14ac:dyDescent="0.2">
      <c r="A74" s="144" t="s">
        <v>48</v>
      </c>
      <c r="B74" s="144"/>
      <c r="C74" s="144"/>
      <c r="D74" s="144"/>
      <c r="E74" s="144"/>
      <c r="F74" s="144"/>
      <c r="G74" s="144"/>
      <c r="H74" s="144"/>
      <c r="I74" s="148">
        <f>I31*80%</f>
        <v>2013678.9279999998</v>
      </c>
      <c r="J74" s="148"/>
    </row>
    <row r="75" spans="1:10" x14ac:dyDescent="0.2">
      <c r="A75" s="144" t="s">
        <v>49</v>
      </c>
      <c r="B75" s="144"/>
      <c r="C75" s="144"/>
      <c r="D75" s="144"/>
      <c r="E75" s="144"/>
      <c r="F75" s="144"/>
      <c r="G75" s="144"/>
      <c r="H75" s="144"/>
      <c r="I75" s="184">
        <f>110305+406201</f>
        <v>516506</v>
      </c>
      <c r="J75" s="184"/>
    </row>
    <row r="76" spans="1:10" ht="13.5" thickBot="1" x14ac:dyDescent="0.25">
      <c r="A76" s="144" t="s">
        <v>50</v>
      </c>
      <c r="B76" s="144"/>
      <c r="C76" s="144"/>
      <c r="D76" s="144"/>
      <c r="E76" s="144"/>
      <c r="F76" s="144"/>
      <c r="G76" s="144"/>
      <c r="H76" s="144"/>
      <c r="I76" s="145">
        <f>I71</f>
        <v>2155161.446</v>
      </c>
      <c r="J76" s="145"/>
    </row>
    <row r="77" spans="1:10" ht="13.5" thickTop="1" x14ac:dyDescent="0.2">
      <c r="H77" s="18" t="s">
        <v>33</v>
      </c>
      <c r="I77" s="129">
        <f>I74+I75-I76</f>
        <v>375023.48199999984</v>
      </c>
      <c r="J77" s="130"/>
    </row>
    <row r="79" spans="1:10" ht="15" x14ac:dyDescent="0.25">
      <c r="A79" s="131" t="s">
        <v>51</v>
      </c>
      <c r="B79" s="132"/>
      <c r="C79" s="132"/>
      <c r="D79" s="132"/>
      <c r="E79" s="132"/>
      <c r="F79" s="132"/>
      <c r="G79" s="132"/>
      <c r="H79" s="132"/>
      <c r="I79" s="132"/>
      <c r="J79" s="133"/>
    </row>
    <row r="80" spans="1:10" x14ac:dyDescent="0.2">
      <c r="A80" s="139" t="s">
        <v>794</v>
      </c>
      <c r="B80" s="139"/>
      <c r="C80" s="139"/>
      <c r="D80" s="139"/>
      <c r="E80" s="139"/>
      <c r="F80" s="139"/>
      <c r="G80" s="139"/>
      <c r="H80" s="139"/>
      <c r="I80" s="139"/>
      <c r="J80" s="139"/>
    </row>
    <row r="81" spans="1:10" x14ac:dyDescent="0.2">
      <c r="A81" s="139"/>
      <c r="B81" s="139"/>
      <c r="C81" s="139"/>
      <c r="D81" s="139"/>
      <c r="E81" s="139"/>
      <c r="F81" s="139"/>
      <c r="G81" s="139"/>
      <c r="H81" s="139"/>
      <c r="I81" s="139"/>
      <c r="J81" s="139"/>
    </row>
    <row r="82" spans="1:10" x14ac:dyDescent="0.2">
      <c r="A82" s="139"/>
      <c r="B82" s="139"/>
      <c r="C82" s="139"/>
      <c r="D82" s="139"/>
      <c r="E82" s="139"/>
      <c r="F82" s="139"/>
      <c r="G82" s="139"/>
      <c r="H82" s="139"/>
      <c r="I82" s="139"/>
      <c r="J82" s="139"/>
    </row>
    <row r="83" spans="1:10" x14ac:dyDescent="0.2">
      <c r="A83" s="139"/>
      <c r="B83" s="139"/>
      <c r="C83" s="139"/>
      <c r="D83" s="139"/>
      <c r="E83" s="139"/>
      <c r="F83" s="139"/>
      <c r="G83" s="139"/>
      <c r="H83" s="139"/>
      <c r="I83" s="139"/>
      <c r="J83" s="139"/>
    </row>
    <row r="84" spans="1:10" x14ac:dyDescent="0.2">
      <c r="A84" s="139"/>
      <c r="B84" s="139"/>
      <c r="C84" s="139"/>
      <c r="D84" s="139"/>
      <c r="E84" s="139"/>
      <c r="F84" s="139"/>
      <c r="G84" s="139"/>
      <c r="H84" s="139"/>
      <c r="I84" s="139"/>
      <c r="J84" s="139"/>
    </row>
    <row r="85" spans="1:10" x14ac:dyDescent="0.2">
      <c r="A85" s="139"/>
      <c r="B85" s="139"/>
      <c r="C85" s="139"/>
      <c r="D85" s="139"/>
      <c r="E85" s="139"/>
      <c r="F85" s="139"/>
      <c r="G85" s="139"/>
      <c r="H85" s="139"/>
      <c r="I85" s="139"/>
      <c r="J85" s="139"/>
    </row>
  </sheetData>
  <mergeCells count="242">
    <mergeCell ref="B49:C49"/>
    <mergeCell ref="E49:F49"/>
    <mergeCell ref="G49:H49"/>
    <mergeCell ref="I49:J49"/>
    <mergeCell ref="B48:C48"/>
    <mergeCell ref="E48:F48"/>
    <mergeCell ref="G48:H48"/>
    <mergeCell ref="I48:J48"/>
    <mergeCell ref="B46:C46"/>
    <mergeCell ref="E46:F46"/>
    <mergeCell ref="G46:H46"/>
    <mergeCell ref="I46:J46"/>
    <mergeCell ref="B47:C47"/>
    <mergeCell ref="E47:F47"/>
    <mergeCell ref="G47:H47"/>
    <mergeCell ref="I47:J47"/>
    <mergeCell ref="G51:H51"/>
    <mergeCell ref="I51:J51"/>
    <mergeCell ref="I53:J53"/>
    <mergeCell ref="G53:H53"/>
    <mergeCell ref="I56:J56"/>
    <mergeCell ref="I57:J57"/>
    <mergeCell ref="G54:H54"/>
    <mergeCell ref="G52:H52"/>
    <mergeCell ref="I52:J52"/>
    <mergeCell ref="I54:J54"/>
    <mergeCell ref="I55:J55"/>
    <mergeCell ref="E64:F64"/>
    <mergeCell ref="I61:J61"/>
    <mergeCell ref="I59:J59"/>
    <mergeCell ref="I58:J58"/>
    <mergeCell ref="I60:J60"/>
    <mergeCell ref="I62:J62"/>
    <mergeCell ref="G64:H64"/>
    <mergeCell ref="G62:H62"/>
    <mergeCell ref="G60:H60"/>
    <mergeCell ref="I67:J67"/>
    <mergeCell ref="G69:H69"/>
    <mergeCell ref="I69:J69"/>
    <mergeCell ref="E65:F65"/>
    <mergeCell ref="I68:J68"/>
    <mergeCell ref="G65:H65"/>
    <mergeCell ref="B69:C69"/>
    <mergeCell ref="E69:F69"/>
    <mergeCell ref="G68:H68"/>
    <mergeCell ref="G67:H67"/>
    <mergeCell ref="B68:C68"/>
    <mergeCell ref="B67:C67"/>
    <mergeCell ref="E67:F67"/>
    <mergeCell ref="E68:F68"/>
    <mergeCell ref="I65:J65"/>
    <mergeCell ref="I74:J74"/>
    <mergeCell ref="B57:C57"/>
    <mergeCell ref="B58:C58"/>
    <mergeCell ref="B70:C70"/>
    <mergeCell ref="E70:F70"/>
    <mergeCell ref="G70:H70"/>
    <mergeCell ref="G58:H58"/>
    <mergeCell ref="G57:H57"/>
    <mergeCell ref="I73:J73"/>
    <mergeCell ref="I70:J70"/>
    <mergeCell ref="B66:C66"/>
    <mergeCell ref="E66:F66"/>
    <mergeCell ref="B62:C62"/>
    <mergeCell ref="E62:F62"/>
    <mergeCell ref="B65:C65"/>
    <mergeCell ref="I64:J64"/>
    <mergeCell ref="G63:H63"/>
    <mergeCell ref="I63:J63"/>
    <mergeCell ref="B63:C63"/>
    <mergeCell ref="E63:F63"/>
    <mergeCell ref="G66:H66"/>
    <mergeCell ref="I66:J66"/>
    <mergeCell ref="B64:C64"/>
    <mergeCell ref="I71:J71"/>
    <mergeCell ref="I77:J77"/>
    <mergeCell ref="A79:J79"/>
    <mergeCell ref="A80:J85"/>
    <mergeCell ref="I75:J75"/>
    <mergeCell ref="A76:H76"/>
    <mergeCell ref="I76:J76"/>
    <mergeCell ref="A75:H75"/>
    <mergeCell ref="G50:H50"/>
    <mergeCell ref="I50:J50"/>
    <mergeCell ref="B50:C50"/>
    <mergeCell ref="E50:F50"/>
    <mergeCell ref="B51:C51"/>
    <mergeCell ref="B52:C52"/>
    <mergeCell ref="E51:F51"/>
    <mergeCell ref="E52:F52"/>
    <mergeCell ref="B53:C53"/>
    <mergeCell ref="B54:C54"/>
    <mergeCell ref="A74:H74"/>
    <mergeCell ref="E53:F53"/>
    <mergeCell ref="E54:F54"/>
    <mergeCell ref="E55:F55"/>
    <mergeCell ref="E56:F56"/>
    <mergeCell ref="E59:F59"/>
    <mergeCell ref="G56:H56"/>
    <mergeCell ref="B44:C44"/>
    <mergeCell ref="E44:F44"/>
    <mergeCell ref="G44:H44"/>
    <mergeCell ref="I44:J44"/>
    <mergeCell ref="B45:C45"/>
    <mergeCell ref="E45:F45"/>
    <mergeCell ref="G45:H45"/>
    <mergeCell ref="I45:J45"/>
    <mergeCell ref="B42:C42"/>
    <mergeCell ref="E42:F42"/>
    <mergeCell ref="G42:H42"/>
    <mergeCell ref="I42:J42"/>
    <mergeCell ref="B43:C43"/>
    <mergeCell ref="E43:F43"/>
    <mergeCell ref="G43:H43"/>
    <mergeCell ref="I43:J43"/>
    <mergeCell ref="B40:C40"/>
    <mergeCell ref="E40:F40"/>
    <mergeCell ref="G40:H40"/>
    <mergeCell ref="I40:J40"/>
    <mergeCell ref="B41:C41"/>
    <mergeCell ref="E41:F41"/>
    <mergeCell ref="G41:H41"/>
    <mergeCell ref="I41:J41"/>
    <mergeCell ref="B38:C38"/>
    <mergeCell ref="E38:F38"/>
    <mergeCell ref="G38:H38"/>
    <mergeCell ref="I38:J38"/>
    <mergeCell ref="B39:C39"/>
    <mergeCell ref="E39:F39"/>
    <mergeCell ref="G39:H39"/>
    <mergeCell ref="I39:J39"/>
    <mergeCell ref="B36:C36"/>
    <mergeCell ref="E36:F36"/>
    <mergeCell ref="G36:H36"/>
    <mergeCell ref="I36:J36"/>
    <mergeCell ref="B37:C37"/>
    <mergeCell ref="E37:F37"/>
    <mergeCell ref="G37:H37"/>
    <mergeCell ref="I37:J37"/>
    <mergeCell ref="A33:J33"/>
    <mergeCell ref="A34:A35"/>
    <mergeCell ref="B34:C35"/>
    <mergeCell ref="D34:D35"/>
    <mergeCell ref="E34:F35"/>
    <mergeCell ref="G34:H35"/>
    <mergeCell ref="I34:J35"/>
    <mergeCell ref="B27:C27"/>
    <mergeCell ref="D27:E27"/>
    <mergeCell ref="G27:H27"/>
    <mergeCell ref="B30:C30"/>
    <mergeCell ref="D30:E30"/>
    <mergeCell ref="G30:H30"/>
    <mergeCell ref="B28:C28"/>
    <mergeCell ref="D28:E28"/>
    <mergeCell ref="G28:H28"/>
    <mergeCell ref="B29:C29"/>
    <mergeCell ref="D29:E29"/>
    <mergeCell ref="G29:H29"/>
    <mergeCell ref="B26:C26"/>
    <mergeCell ref="D26:E26"/>
    <mergeCell ref="G26:H26"/>
    <mergeCell ref="B25:C25"/>
    <mergeCell ref="D25:E25"/>
    <mergeCell ref="G25:H25"/>
    <mergeCell ref="B24:C24"/>
    <mergeCell ref="D24:E24"/>
    <mergeCell ref="G24:H24"/>
    <mergeCell ref="B23:C23"/>
    <mergeCell ref="D23:E23"/>
    <mergeCell ref="G23:H23"/>
    <mergeCell ref="B22:C22"/>
    <mergeCell ref="D22:E22"/>
    <mergeCell ref="G22:H22"/>
    <mergeCell ref="B21:C21"/>
    <mergeCell ref="D21:E21"/>
    <mergeCell ref="G21:H21"/>
    <mergeCell ref="B20:C20"/>
    <mergeCell ref="D20:E20"/>
    <mergeCell ref="G20:H20"/>
    <mergeCell ref="B19:C19"/>
    <mergeCell ref="D19:E19"/>
    <mergeCell ref="G19:H19"/>
    <mergeCell ref="B18:C18"/>
    <mergeCell ref="D18:E18"/>
    <mergeCell ref="G18:H18"/>
    <mergeCell ref="B17:C17"/>
    <mergeCell ref="D17:E17"/>
    <mergeCell ref="G17:H17"/>
    <mergeCell ref="B16:C16"/>
    <mergeCell ref="D16:E16"/>
    <mergeCell ref="G16:H16"/>
    <mergeCell ref="B15:C15"/>
    <mergeCell ref="D15:E15"/>
    <mergeCell ref="G15:H15"/>
    <mergeCell ref="B14:C14"/>
    <mergeCell ref="D14:E14"/>
    <mergeCell ref="G14:H14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56:C56"/>
    <mergeCell ref="G55:H55"/>
    <mergeCell ref="G61:H61"/>
    <mergeCell ref="G59:H59"/>
    <mergeCell ref="E57:F57"/>
    <mergeCell ref="E58:F58"/>
    <mergeCell ref="B60:C60"/>
    <mergeCell ref="B59:C59"/>
    <mergeCell ref="E60:F60"/>
    <mergeCell ref="B61:C61"/>
    <mergeCell ref="E61:F61"/>
    <mergeCell ref="B55:C55"/>
  </mergeCells>
  <phoneticPr fontId="6" type="noConversion"/>
  <pageMargins left="0.75" right="0.75" top="1" bottom="1" header="0.5" footer="0.5"/>
  <pageSetup scale="62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60">
    <pageSetUpPr fitToPage="1"/>
  </sheetPr>
  <dimension ref="A1:J46"/>
  <sheetViews>
    <sheetView topLeftCell="A10" workbookViewId="0">
      <selection activeCell="I19" sqref="I19:J28"/>
    </sheetView>
  </sheetViews>
  <sheetFormatPr defaultRowHeight="12.75" x14ac:dyDescent="0.2"/>
  <cols>
    <col min="6" max="6" width="12" customWidth="1"/>
    <col min="9" max="9" width="11.7109375" bestFit="1" customWidth="1"/>
    <col min="10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800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290" t="s">
        <v>27</v>
      </c>
      <c r="J4" s="232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233"/>
      <c r="J5" s="233"/>
    </row>
    <row r="6" spans="1:10" x14ac:dyDescent="0.2">
      <c r="A6" s="9">
        <v>1</v>
      </c>
      <c r="B6" s="128">
        <v>8637091</v>
      </c>
      <c r="C6" s="128"/>
      <c r="D6" s="128">
        <v>8637105</v>
      </c>
      <c r="E6" s="128"/>
      <c r="F6" s="12">
        <v>35226</v>
      </c>
      <c r="G6" s="169" t="s">
        <v>801</v>
      </c>
      <c r="H6" s="169"/>
      <c r="I6" s="32">
        <v>141413.43</v>
      </c>
      <c r="J6" s="32">
        <f>I6*0.8</f>
        <v>113130.74400000001</v>
      </c>
    </row>
    <row r="7" spans="1:10" x14ac:dyDescent="0.2">
      <c r="A7" s="9">
        <v>2</v>
      </c>
      <c r="B7" s="128">
        <v>8633908</v>
      </c>
      <c r="C7" s="128"/>
      <c r="D7" s="128">
        <v>8630000</v>
      </c>
      <c r="E7" s="128"/>
      <c r="F7" s="12">
        <v>42129</v>
      </c>
      <c r="G7" s="169"/>
      <c r="H7" s="169"/>
      <c r="I7" s="32">
        <v>356423.18</v>
      </c>
      <c r="J7" s="32">
        <f>I7*0.8</f>
        <v>285138.54399999999</v>
      </c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2"/>
      <c r="J8" s="32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2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2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2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55"/>
      <c r="J13" s="55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43">
        <f>SUM(I6:I13)</f>
        <v>497836.61</v>
      </c>
      <c r="J14" s="43">
        <f>SUM(J6:J13)</f>
        <v>398269.288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9">
        <v>1</v>
      </c>
      <c r="B19" s="183" t="s">
        <v>802</v>
      </c>
      <c r="C19" s="128"/>
      <c r="D19" s="9">
        <v>13784</v>
      </c>
      <c r="E19" s="182">
        <v>36342</v>
      </c>
      <c r="F19" s="128"/>
      <c r="G19" s="183" t="s">
        <v>803</v>
      </c>
      <c r="H19" s="128"/>
      <c r="I19" s="136">
        <v>73649</v>
      </c>
      <c r="J19" s="136"/>
    </row>
    <row r="20" spans="1:10" x14ac:dyDescent="0.2">
      <c r="A20" s="9">
        <v>2</v>
      </c>
      <c r="B20" s="183" t="s">
        <v>804</v>
      </c>
      <c r="C20" s="128"/>
      <c r="D20" s="9">
        <v>10406</v>
      </c>
      <c r="E20" s="182">
        <v>36678</v>
      </c>
      <c r="F20" s="128"/>
      <c r="G20" s="183" t="s">
        <v>805</v>
      </c>
      <c r="H20" s="128"/>
      <c r="I20" s="136">
        <f>244015-204533.26</f>
        <v>39481.739999999991</v>
      </c>
      <c r="J20" s="136"/>
    </row>
    <row r="21" spans="1:10" x14ac:dyDescent="0.2">
      <c r="A21" s="31">
        <v>3</v>
      </c>
      <c r="B21" s="388">
        <v>425990</v>
      </c>
      <c r="C21" s="388"/>
      <c r="D21" s="31">
        <v>24057</v>
      </c>
      <c r="E21" s="388" t="s">
        <v>648</v>
      </c>
      <c r="F21" s="388"/>
      <c r="G21" s="388" t="s">
        <v>806</v>
      </c>
      <c r="H21" s="388"/>
      <c r="I21" s="389">
        <v>36697</v>
      </c>
      <c r="J21" s="389"/>
    </row>
    <row r="22" spans="1:10" x14ac:dyDescent="0.2">
      <c r="A22" s="19">
        <v>4</v>
      </c>
      <c r="B22" s="137"/>
      <c r="C22" s="137"/>
      <c r="D22" s="19">
        <v>81361</v>
      </c>
      <c r="E22" s="137"/>
      <c r="F22" s="137"/>
      <c r="G22" s="137" t="s">
        <v>808</v>
      </c>
      <c r="H22" s="137"/>
      <c r="I22" s="138">
        <f>82506.3*1.05</f>
        <v>86631.615000000005</v>
      </c>
      <c r="J22" s="138"/>
    </row>
    <row r="23" spans="1:10" x14ac:dyDescent="0.2">
      <c r="A23" s="19"/>
      <c r="B23" s="137"/>
      <c r="C23" s="137"/>
      <c r="D23" s="19">
        <v>88870</v>
      </c>
      <c r="E23" s="137" t="s">
        <v>912</v>
      </c>
      <c r="F23" s="137"/>
      <c r="G23" s="137"/>
      <c r="H23" s="137"/>
      <c r="I23" s="138">
        <v>3782.6</v>
      </c>
      <c r="J23" s="138"/>
    </row>
    <row r="24" spans="1:10" x14ac:dyDescent="0.2">
      <c r="A24" s="19"/>
      <c r="B24" s="137"/>
      <c r="C24" s="137"/>
      <c r="D24" s="19">
        <v>90189</v>
      </c>
      <c r="E24" s="137" t="s">
        <v>939</v>
      </c>
      <c r="F24" s="137"/>
      <c r="G24" s="137"/>
      <c r="H24" s="137"/>
      <c r="I24" s="138">
        <v>948.4</v>
      </c>
      <c r="J24" s="138"/>
    </row>
    <row r="25" spans="1:10" x14ac:dyDescent="0.2">
      <c r="A25" s="19"/>
      <c r="B25" s="137"/>
      <c r="C25" s="137"/>
      <c r="D25" s="19">
        <v>92742</v>
      </c>
      <c r="E25" s="137" t="s">
        <v>1009</v>
      </c>
      <c r="F25" s="137"/>
      <c r="G25" s="137"/>
      <c r="H25" s="137"/>
      <c r="I25" s="138">
        <v>1283</v>
      </c>
      <c r="J25" s="138"/>
    </row>
    <row r="26" spans="1:10" x14ac:dyDescent="0.2">
      <c r="A26" s="19"/>
      <c r="B26" s="137"/>
      <c r="C26" s="137"/>
      <c r="D26" s="19">
        <v>93896</v>
      </c>
      <c r="E26" s="137" t="s">
        <v>1027</v>
      </c>
      <c r="F26" s="137"/>
      <c r="G26" s="137"/>
      <c r="H26" s="137"/>
      <c r="I26" s="138">
        <v>1490.6</v>
      </c>
      <c r="J26" s="138"/>
    </row>
    <row r="27" spans="1:10" x14ac:dyDescent="0.2">
      <c r="A27" s="19"/>
      <c r="B27" s="137"/>
      <c r="C27" s="137"/>
      <c r="D27" s="19">
        <v>103664</v>
      </c>
      <c r="E27" s="196">
        <v>44288</v>
      </c>
      <c r="F27" s="137"/>
      <c r="G27" s="137" t="s">
        <v>1074</v>
      </c>
      <c r="H27" s="137"/>
      <c r="I27" s="138">
        <v>89472.58</v>
      </c>
      <c r="J27" s="138"/>
    </row>
    <row r="28" spans="1:10" x14ac:dyDescent="0.2">
      <c r="A28" s="82"/>
      <c r="B28" s="198"/>
      <c r="C28" s="198"/>
      <c r="D28" s="82">
        <v>113921</v>
      </c>
      <c r="E28" s="198"/>
      <c r="F28" s="198"/>
      <c r="G28" s="198" t="s">
        <v>1420</v>
      </c>
      <c r="H28" s="198"/>
      <c r="I28" s="199">
        <v>123900</v>
      </c>
      <c r="J28" s="199"/>
    </row>
    <row r="29" spans="1:10" x14ac:dyDescent="0.2">
      <c r="A29" s="9"/>
      <c r="B29" s="128"/>
      <c r="C29" s="128"/>
      <c r="D29" s="9"/>
      <c r="E29" s="128"/>
      <c r="F29" s="128"/>
      <c r="G29" s="128"/>
      <c r="H29" s="128"/>
      <c r="I29" s="136"/>
      <c r="J29" s="136"/>
    </row>
    <row r="30" spans="1:10" ht="13.5" thickBot="1" x14ac:dyDescent="0.25">
      <c r="A30" s="9"/>
      <c r="B30" s="128"/>
      <c r="C30" s="128"/>
      <c r="D30" s="9"/>
      <c r="E30" s="128"/>
      <c r="F30" s="128"/>
      <c r="G30" s="128"/>
      <c r="H30" s="128"/>
      <c r="I30" s="226"/>
      <c r="J30" s="22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0">
        <f>SUM(I19:J30)</f>
        <v>457336.53499999997</v>
      </c>
      <c r="J31" s="140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49" t="s">
        <v>47</v>
      </c>
      <c r="J33" s="150"/>
    </row>
    <row r="34" spans="1:10" x14ac:dyDescent="0.2">
      <c r="A34" s="144" t="s">
        <v>48</v>
      </c>
      <c r="B34" s="144"/>
      <c r="C34" s="144"/>
      <c r="D34" s="144"/>
      <c r="E34" s="144"/>
      <c r="F34" s="144"/>
      <c r="G34" s="144"/>
      <c r="H34" s="144"/>
      <c r="I34" s="148">
        <f>I14*80%</f>
        <v>398269.288</v>
      </c>
      <c r="J34" s="148"/>
    </row>
    <row r="35" spans="1:10" x14ac:dyDescent="0.2">
      <c r="A35" s="144" t="s">
        <v>49</v>
      </c>
      <c r="B35" s="144"/>
      <c r="C35" s="144"/>
      <c r="D35" s="144"/>
      <c r="E35" s="144"/>
      <c r="F35" s="144"/>
      <c r="G35" s="144"/>
      <c r="H35" s="144"/>
      <c r="I35" s="184">
        <v>247076</v>
      </c>
      <c r="J35" s="184"/>
    </row>
    <row r="36" spans="1:10" x14ac:dyDescent="0.2">
      <c r="A36" s="134" t="s">
        <v>1328</v>
      </c>
      <c r="B36" s="134"/>
      <c r="C36" s="134"/>
      <c r="D36" s="134"/>
      <c r="E36" s="134"/>
      <c r="F36" s="134"/>
      <c r="G36" s="134"/>
      <c r="H36" s="134"/>
      <c r="I36" s="135">
        <v>-83542.320000000007</v>
      </c>
      <c r="J36" s="135"/>
    </row>
    <row r="37" spans="1:10" ht="13.5" thickBot="1" x14ac:dyDescent="0.25">
      <c r="A37" s="144" t="s">
        <v>50</v>
      </c>
      <c r="B37" s="144"/>
      <c r="C37" s="144"/>
      <c r="D37" s="144"/>
      <c r="E37" s="144"/>
      <c r="F37" s="144"/>
      <c r="G37" s="144"/>
      <c r="H37" s="144"/>
      <c r="I37" s="145">
        <f>I31</f>
        <v>457336.53499999997</v>
      </c>
      <c r="J37" s="145"/>
    </row>
    <row r="38" spans="1:10" ht="13.5" thickTop="1" x14ac:dyDescent="0.2">
      <c r="H38" s="18" t="s">
        <v>33</v>
      </c>
      <c r="I38" s="129">
        <f>I34+I35+I36-I37</f>
        <v>104466.4329999999</v>
      </c>
      <c r="J38" s="130"/>
    </row>
    <row r="40" spans="1:10" ht="15" x14ac:dyDescent="0.25">
      <c r="A40" s="131" t="s">
        <v>51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x14ac:dyDescent="0.2">
      <c r="A41" s="139" t="s">
        <v>807</v>
      </c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</sheetData>
  <mergeCells count="101">
    <mergeCell ref="A36:H36"/>
    <mergeCell ref="I36:J36"/>
    <mergeCell ref="E25:F25"/>
    <mergeCell ref="G25:H25"/>
    <mergeCell ref="I25:J25"/>
    <mergeCell ref="B26:C26"/>
    <mergeCell ref="E26:F26"/>
    <mergeCell ref="G26:H26"/>
    <mergeCell ref="I26:J26"/>
    <mergeCell ref="I31:J31"/>
    <mergeCell ref="I30:J30"/>
    <mergeCell ref="B27:C27"/>
    <mergeCell ref="E27:F27"/>
    <mergeCell ref="G27:H27"/>
    <mergeCell ref="I27:J27"/>
    <mergeCell ref="B28:C28"/>
    <mergeCell ref="E28:F28"/>
    <mergeCell ref="G28:H28"/>
    <mergeCell ref="I28:J28"/>
    <mergeCell ref="I38:J38"/>
    <mergeCell ref="A40:J40"/>
    <mergeCell ref="A41:J46"/>
    <mergeCell ref="I4:I5"/>
    <mergeCell ref="J4:J5"/>
    <mergeCell ref="A35:H35"/>
    <mergeCell ref="I35:J35"/>
    <mergeCell ref="A37:H37"/>
    <mergeCell ref="I37:J37"/>
    <mergeCell ref="B29:C29"/>
    <mergeCell ref="E29:F29"/>
    <mergeCell ref="G29:H29"/>
    <mergeCell ref="I29:J29"/>
    <mergeCell ref="I33:J33"/>
    <mergeCell ref="A34:H34"/>
    <mergeCell ref="I34:J34"/>
    <mergeCell ref="B30:C30"/>
    <mergeCell ref="E30:F30"/>
    <mergeCell ref="G30:H30"/>
    <mergeCell ref="E23:F23"/>
    <mergeCell ref="G23:H23"/>
    <mergeCell ref="I23:J23"/>
    <mergeCell ref="B24:C24"/>
    <mergeCell ref="E24:F24"/>
    <mergeCell ref="G24:H24"/>
    <mergeCell ref="I24:J24"/>
    <mergeCell ref="B25:C25"/>
    <mergeCell ref="B21:C21"/>
    <mergeCell ref="E21:F21"/>
    <mergeCell ref="G21:H21"/>
    <mergeCell ref="I21:J21"/>
    <mergeCell ref="B22:C22"/>
    <mergeCell ref="E22:F22"/>
    <mergeCell ref="G22:H22"/>
    <mergeCell ref="I22:J22"/>
    <mergeCell ref="B23:C23"/>
    <mergeCell ref="B19:C19"/>
    <mergeCell ref="E19:F19"/>
    <mergeCell ref="G19:H19"/>
    <mergeCell ref="I19:J19"/>
    <mergeCell ref="B20:C20"/>
    <mergeCell ref="E20:F20"/>
    <mergeCell ref="G20:H20"/>
    <mergeCell ref="I20:J20"/>
    <mergeCell ref="A16:J16"/>
    <mergeCell ref="A17:A18"/>
    <mergeCell ref="B17:C18"/>
    <mergeCell ref="D17:D18"/>
    <mergeCell ref="E17:F18"/>
    <mergeCell ref="G17:H18"/>
    <mergeCell ref="I17:J18"/>
    <mergeCell ref="B13:C13"/>
    <mergeCell ref="D13:E13"/>
    <mergeCell ref="G13:H13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</mergeCells>
  <phoneticPr fontId="6" type="noConversion"/>
  <pageMargins left="0.75" right="0.75" top="1" bottom="1" header="0.5" footer="0.5"/>
  <pageSetup scale="92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J47"/>
  <sheetViews>
    <sheetView topLeftCell="A16" workbookViewId="0">
      <selection activeCell="I19" sqref="I19:J23"/>
    </sheetView>
  </sheetViews>
  <sheetFormatPr defaultRowHeight="12.75" x14ac:dyDescent="0.2"/>
  <cols>
    <col min="6" max="6" width="12.140625" customWidth="1"/>
    <col min="7" max="7" width="13.5703125" customWidth="1"/>
    <col min="8" max="8" width="14.5703125" customWidth="1"/>
    <col min="9" max="9" width="11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1100</v>
      </c>
      <c r="B2" s="6"/>
      <c r="C2" s="6"/>
      <c r="D2" s="6"/>
      <c r="E2" s="6"/>
      <c r="F2" s="6"/>
      <c r="G2" s="6"/>
      <c r="H2" s="6"/>
      <c r="I2" s="6"/>
      <c r="J2" s="7" t="s">
        <v>350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2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233"/>
    </row>
    <row r="6" spans="1:10" x14ac:dyDescent="0.2">
      <c r="A6" s="9">
        <v>1</v>
      </c>
      <c r="B6" s="128">
        <v>8736650</v>
      </c>
      <c r="C6" s="128"/>
      <c r="D6" s="128">
        <v>8736669</v>
      </c>
      <c r="E6" s="128"/>
      <c r="F6" s="12">
        <v>41708</v>
      </c>
      <c r="G6" s="169"/>
      <c r="H6" s="169"/>
      <c r="I6" s="39">
        <v>359077.55</v>
      </c>
      <c r="J6" s="32">
        <f>I6*0.8</f>
        <v>287262.03999999998</v>
      </c>
    </row>
    <row r="7" spans="1:10" x14ac:dyDescent="0.2">
      <c r="A7" s="9">
        <v>2</v>
      </c>
      <c r="B7" s="128">
        <v>8758557</v>
      </c>
      <c r="C7" s="128"/>
      <c r="D7" s="128">
        <v>8758565</v>
      </c>
      <c r="E7" s="128"/>
      <c r="F7" s="12">
        <v>41827</v>
      </c>
      <c r="G7" s="169"/>
      <c r="H7" s="169"/>
      <c r="I7" s="39">
        <v>249712.65</v>
      </c>
      <c r="J7" s="32">
        <f>I7*0.8</f>
        <v>199770.12</v>
      </c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39"/>
      <c r="J8" s="32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39"/>
      <c r="J9" s="32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39"/>
      <c r="J10" s="32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39"/>
      <c r="J11" s="32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9"/>
      <c r="J12" s="32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41"/>
      <c r="J13" s="55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43">
        <f>SUM(I6:I13)</f>
        <v>608790.19999999995</v>
      </c>
      <c r="J14" s="78">
        <f>SUM(J6:J13)</f>
        <v>487032.16</v>
      </c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">
      <c r="A17" s="169" t="s">
        <v>23</v>
      </c>
      <c r="B17" s="169" t="s">
        <v>35</v>
      </c>
      <c r="C17" s="169"/>
      <c r="D17" s="169" t="s">
        <v>36</v>
      </c>
      <c r="E17" s="169" t="s">
        <v>37</v>
      </c>
      <c r="F17" s="169"/>
      <c r="G17" s="169" t="s">
        <v>38</v>
      </c>
      <c r="H17" s="169"/>
      <c r="I17" s="169" t="s">
        <v>39</v>
      </c>
      <c r="J17" s="169"/>
    </row>
    <row r="18" spans="1:10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x14ac:dyDescent="0.2">
      <c r="A19" s="19">
        <v>1</v>
      </c>
      <c r="B19" s="225"/>
      <c r="C19" s="137"/>
      <c r="D19" s="19">
        <v>93550</v>
      </c>
      <c r="E19" s="196">
        <v>43025</v>
      </c>
      <c r="F19" s="137"/>
      <c r="G19" s="225" t="s">
        <v>1101</v>
      </c>
      <c r="H19" s="137"/>
      <c r="I19" s="138">
        <v>103650</v>
      </c>
      <c r="J19" s="138"/>
    </row>
    <row r="20" spans="1:10" x14ac:dyDescent="0.2">
      <c r="A20" s="19">
        <v>2</v>
      </c>
      <c r="B20" s="137"/>
      <c r="C20" s="137"/>
      <c r="D20" s="19">
        <v>100941</v>
      </c>
      <c r="E20" s="196">
        <v>43448</v>
      </c>
      <c r="F20" s="137"/>
      <c r="G20" s="137" t="s">
        <v>1194</v>
      </c>
      <c r="H20" s="137"/>
      <c r="I20" s="138">
        <v>82268.08</v>
      </c>
      <c r="J20" s="138"/>
    </row>
    <row r="21" spans="1:10" x14ac:dyDescent="0.2">
      <c r="A21" s="19">
        <v>3</v>
      </c>
      <c r="B21" s="137"/>
      <c r="C21" s="137"/>
      <c r="D21" s="19">
        <v>98747</v>
      </c>
      <c r="E21" s="196">
        <v>43601</v>
      </c>
      <c r="F21" s="137"/>
      <c r="G21" s="137" t="s">
        <v>1102</v>
      </c>
      <c r="H21" s="137"/>
      <c r="I21" s="138">
        <v>76913.55</v>
      </c>
      <c r="J21" s="138"/>
    </row>
    <row r="22" spans="1:10" x14ac:dyDescent="0.2">
      <c r="A22" s="19">
        <v>4</v>
      </c>
      <c r="B22" s="137"/>
      <c r="C22" s="137"/>
      <c r="D22" s="19">
        <v>106105</v>
      </c>
      <c r="E22" s="196">
        <v>44694</v>
      </c>
      <c r="F22" s="137"/>
      <c r="G22" s="137" t="s">
        <v>1114</v>
      </c>
      <c r="H22" s="137"/>
      <c r="I22" s="138">
        <v>68719.820000000007</v>
      </c>
      <c r="J22" s="138"/>
    </row>
    <row r="23" spans="1:10" x14ac:dyDescent="0.2">
      <c r="A23" s="19">
        <v>5</v>
      </c>
      <c r="B23" s="225"/>
      <c r="C23" s="137"/>
      <c r="D23" s="19">
        <v>98749</v>
      </c>
      <c r="E23" s="196">
        <v>44998</v>
      </c>
      <c r="F23" s="137"/>
      <c r="G23" s="225" t="s">
        <v>1388</v>
      </c>
      <c r="H23" s="137"/>
      <c r="I23" s="138">
        <v>204378.26</v>
      </c>
      <c r="J23" s="138"/>
    </row>
    <row r="24" spans="1:10" x14ac:dyDescent="0.2">
      <c r="A24" s="19"/>
      <c r="B24" s="137"/>
      <c r="C24" s="137"/>
      <c r="D24" s="19"/>
      <c r="E24" s="137"/>
      <c r="F24" s="137"/>
      <c r="G24" s="137"/>
      <c r="H24" s="137"/>
      <c r="I24" s="138"/>
      <c r="J24" s="138"/>
    </row>
    <row r="25" spans="1:10" x14ac:dyDescent="0.2">
      <c r="A25" s="19"/>
      <c r="B25" s="137"/>
      <c r="C25" s="137"/>
      <c r="D25" s="19"/>
      <c r="E25" s="137"/>
      <c r="F25" s="137"/>
      <c r="G25" s="137"/>
      <c r="H25" s="137"/>
      <c r="I25" s="138"/>
      <c r="J25" s="138"/>
    </row>
    <row r="26" spans="1:10" x14ac:dyDescent="0.2">
      <c r="A26" s="58"/>
      <c r="B26" s="151"/>
      <c r="C26" s="151"/>
      <c r="D26" s="58"/>
      <c r="E26" s="151"/>
      <c r="F26" s="151"/>
      <c r="G26" s="151"/>
      <c r="H26" s="151"/>
      <c r="I26" s="152"/>
      <c r="J26" s="152"/>
    </row>
    <row r="27" spans="1:10" x14ac:dyDescent="0.2">
      <c r="A27" s="58"/>
      <c r="B27" s="151"/>
      <c r="C27" s="151"/>
      <c r="D27" s="58"/>
      <c r="E27" s="151"/>
      <c r="F27" s="151"/>
      <c r="G27" s="151"/>
      <c r="H27" s="151"/>
      <c r="I27" s="152"/>
      <c r="J27" s="152"/>
    </row>
    <row r="28" spans="1:10" x14ac:dyDescent="0.2">
      <c r="A28" s="9"/>
      <c r="B28" s="128"/>
      <c r="C28" s="128"/>
      <c r="D28" s="9"/>
      <c r="E28" s="128"/>
      <c r="F28" s="128"/>
      <c r="G28" s="128"/>
      <c r="H28" s="128"/>
      <c r="I28" s="136"/>
      <c r="J28" s="136"/>
    </row>
    <row r="29" spans="1:10" x14ac:dyDescent="0.2">
      <c r="A29" s="9"/>
      <c r="B29" s="128"/>
      <c r="C29" s="128"/>
      <c r="D29" s="9"/>
      <c r="E29" s="128"/>
      <c r="F29" s="128"/>
      <c r="G29" s="128"/>
      <c r="H29" s="128"/>
      <c r="I29" s="136"/>
      <c r="J29" s="136"/>
    </row>
    <row r="30" spans="1:10" ht="13.5" thickBot="1" x14ac:dyDescent="0.25">
      <c r="A30" s="9"/>
      <c r="B30" s="128"/>
      <c r="C30" s="128"/>
      <c r="D30" s="9"/>
      <c r="E30" s="128"/>
      <c r="F30" s="128"/>
      <c r="G30" s="128"/>
      <c r="H30" s="128"/>
      <c r="I30" s="226"/>
      <c r="J30" s="226"/>
    </row>
    <row r="31" spans="1:10" ht="13.5" thickTop="1" x14ac:dyDescent="0.2">
      <c r="A31" s="13"/>
      <c r="B31" s="13"/>
      <c r="C31" s="13"/>
      <c r="D31" s="13"/>
      <c r="E31" s="13"/>
      <c r="F31" s="13"/>
      <c r="G31" s="13"/>
      <c r="H31" s="13" t="s">
        <v>33</v>
      </c>
      <c r="I31" s="140">
        <f>SUM(I19:J30)</f>
        <v>535929.71</v>
      </c>
      <c r="J31" s="140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49" t="s">
        <v>47</v>
      </c>
      <c r="J33" s="150"/>
    </row>
    <row r="34" spans="1:10" x14ac:dyDescent="0.2">
      <c r="A34" s="144" t="s">
        <v>48</v>
      </c>
      <c r="B34" s="144"/>
      <c r="C34" s="144"/>
      <c r="D34" s="144"/>
      <c r="E34" s="144"/>
      <c r="F34" s="144"/>
      <c r="G34" s="144"/>
      <c r="H34" s="144"/>
      <c r="I34" s="148">
        <f>I14*80%</f>
        <v>487032.16</v>
      </c>
      <c r="J34" s="148"/>
    </row>
    <row r="35" spans="1:10" x14ac:dyDescent="0.2">
      <c r="A35" s="144" t="s">
        <v>49</v>
      </c>
      <c r="B35" s="144"/>
      <c r="C35" s="144"/>
      <c r="D35" s="144"/>
      <c r="E35" s="144"/>
      <c r="F35" s="144"/>
      <c r="G35" s="144"/>
      <c r="H35" s="144"/>
      <c r="I35" s="184"/>
      <c r="J35" s="184"/>
    </row>
    <row r="36" spans="1:10" x14ac:dyDescent="0.2">
      <c r="A36" s="231" t="s">
        <v>1389</v>
      </c>
      <c r="B36" s="144"/>
      <c r="C36" s="144"/>
      <c r="D36" s="144"/>
      <c r="E36" s="144"/>
      <c r="F36" s="144"/>
      <c r="G36" s="144"/>
      <c r="H36" s="144"/>
      <c r="I36" s="184">
        <v>22223.48</v>
      </c>
      <c r="J36" s="184"/>
    </row>
    <row r="37" spans="1:10" x14ac:dyDescent="0.2">
      <c r="A37" s="144" t="s">
        <v>1621</v>
      </c>
      <c r="B37" s="144"/>
      <c r="C37" s="144"/>
      <c r="D37" s="144"/>
      <c r="E37" s="144"/>
      <c r="F37" s="144"/>
      <c r="G37" s="144"/>
      <c r="H37" s="144"/>
      <c r="I37" s="184">
        <v>26674.07</v>
      </c>
      <c r="J37" s="184"/>
    </row>
    <row r="38" spans="1:10" ht="13.5" thickBot="1" x14ac:dyDescent="0.25">
      <c r="A38" s="144" t="s">
        <v>50</v>
      </c>
      <c r="B38" s="144"/>
      <c r="C38" s="144"/>
      <c r="D38" s="144"/>
      <c r="E38" s="144"/>
      <c r="F38" s="144"/>
      <c r="G38" s="144"/>
      <c r="H38" s="144"/>
      <c r="I38" s="145">
        <f>I31</f>
        <v>535929.71</v>
      </c>
      <c r="J38" s="145"/>
    </row>
    <row r="39" spans="1:10" ht="13.5" thickTop="1" x14ac:dyDescent="0.2">
      <c r="H39" s="18" t="s">
        <v>33</v>
      </c>
      <c r="I39" s="129">
        <f>I34+I35+I36+I37-I38</f>
        <v>0</v>
      </c>
      <c r="J39" s="130"/>
    </row>
    <row r="41" spans="1:10" ht="15" x14ac:dyDescent="0.25">
      <c r="A41" s="131" t="s">
        <v>51</v>
      </c>
      <c r="B41" s="132"/>
      <c r="C41" s="132"/>
      <c r="D41" s="132"/>
      <c r="E41" s="132"/>
      <c r="F41" s="132"/>
      <c r="G41" s="132"/>
      <c r="H41" s="132"/>
      <c r="I41" s="132"/>
      <c r="J41" s="133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</sheetData>
  <mergeCells count="103">
    <mergeCell ref="I35:J35"/>
    <mergeCell ref="B29:C29"/>
    <mergeCell ref="E29:F29"/>
    <mergeCell ref="G29:H29"/>
    <mergeCell ref="I29:J29"/>
    <mergeCell ref="B30:C30"/>
    <mergeCell ref="A41:J41"/>
    <mergeCell ref="A42:J47"/>
    <mergeCell ref="I31:J31"/>
    <mergeCell ref="I33:J33"/>
    <mergeCell ref="A34:H34"/>
    <mergeCell ref="I34:J34"/>
    <mergeCell ref="A35:H35"/>
    <mergeCell ref="E30:F30"/>
    <mergeCell ref="G30:H30"/>
    <mergeCell ref="I30:J30"/>
    <mergeCell ref="A38:H38"/>
    <mergeCell ref="I38:J38"/>
    <mergeCell ref="I39:J39"/>
    <mergeCell ref="A36:H36"/>
    <mergeCell ref="I36:J36"/>
    <mergeCell ref="A37:H37"/>
    <mergeCell ref="I37:J37"/>
    <mergeCell ref="I23:J23"/>
    <mergeCell ref="B20:C20"/>
    <mergeCell ref="B28:C28"/>
    <mergeCell ref="E28:F28"/>
    <mergeCell ref="G28:H28"/>
    <mergeCell ref="I28:J28"/>
    <mergeCell ref="B26:C26"/>
    <mergeCell ref="E26:F26"/>
    <mergeCell ref="G26:H26"/>
    <mergeCell ref="I26:J26"/>
    <mergeCell ref="B27:C27"/>
    <mergeCell ref="E27:F27"/>
    <mergeCell ref="G27:H27"/>
    <mergeCell ref="I27:J27"/>
    <mergeCell ref="B24:C24"/>
    <mergeCell ref="E24:F24"/>
    <mergeCell ref="G24:H24"/>
    <mergeCell ref="I24:J24"/>
    <mergeCell ref="B25:C25"/>
    <mergeCell ref="E25:F25"/>
    <mergeCell ref="G25:H25"/>
    <mergeCell ref="I25:J25"/>
    <mergeCell ref="I21:J21"/>
    <mergeCell ref="B22:C22"/>
    <mergeCell ref="I22:J22"/>
    <mergeCell ref="B19:C19"/>
    <mergeCell ref="E20:F20"/>
    <mergeCell ref="A16:J16"/>
    <mergeCell ref="A17:A18"/>
    <mergeCell ref="B17:C18"/>
    <mergeCell ref="D17:D18"/>
    <mergeCell ref="E17:F18"/>
    <mergeCell ref="G17:H18"/>
    <mergeCell ref="I17:J18"/>
    <mergeCell ref="G20:H20"/>
    <mergeCell ref="I20:J20"/>
    <mergeCell ref="E19:F19"/>
    <mergeCell ref="G19:H19"/>
    <mergeCell ref="I19:J19"/>
    <mergeCell ref="B23:C23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21:C21"/>
    <mergeCell ref="E21:F21"/>
    <mergeCell ref="G21:H21"/>
    <mergeCell ref="E23:F23"/>
    <mergeCell ref="G23:H23"/>
    <mergeCell ref="E22:F22"/>
    <mergeCell ref="G22:H22"/>
    <mergeCell ref="B9:C9"/>
    <mergeCell ref="D9:E9"/>
    <mergeCell ref="G9:H9"/>
    <mergeCell ref="D5:E5"/>
    <mergeCell ref="B6:C6"/>
    <mergeCell ref="D6:E6"/>
    <mergeCell ref="G6:H6"/>
    <mergeCell ref="B7:C7"/>
    <mergeCell ref="D7:E7"/>
    <mergeCell ref="G7:H7"/>
    <mergeCell ref="A3:J3"/>
    <mergeCell ref="A4:A5"/>
    <mergeCell ref="B4:E4"/>
    <mergeCell ref="F4:F5"/>
    <mergeCell ref="G4:H5"/>
    <mergeCell ref="I4:I5"/>
    <mergeCell ref="J4:J5"/>
    <mergeCell ref="B5:C5"/>
    <mergeCell ref="B8:C8"/>
    <mergeCell ref="D8:E8"/>
    <mergeCell ref="G8:H8"/>
  </mergeCells>
  <phoneticPr fontId="6" type="noConversion"/>
  <pageMargins left="0.7" right="0.7" top="0.75" bottom="0.75" header="0.3" footer="0.3"/>
  <pageSetup scale="93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J51"/>
  <sheetViews>
    <sheetView workbookViewId="0">
      <selection activeCell="I40" sqref="I40:J40"/>
    </sheetView>
  </sheetViews>
  <sheetFormatPr defaultRowHeight="12.75" x14ac:dyDescent="0.2"/>
  <cols>
    <col min="6" max="6" width="10.140625" bestFit="1" customWidth="1"/>
    <col min="9" max="10" width="12.71093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1" t="s">
        <v>1181</v>
      </c>
      <c r="B2" s="6"/>
      <c r="C2" s="6"/>
      <c r="D2" s="6"/>
      <c r="E2" s="6"/>
      <c r="F2" s="6"/>
      <c r="G2" s="6"/>
      <c r="H2" s="6"/>
      <c r="I2" s="6"/>
      <c r="J2" s="59" t="s">
        <v>21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2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233"/>
    </row>
    <row r="6" spans="1:10" x14ac:dyDescent="0.2">
      <c r="A6" s="9">
        <v>1</v>
      </c>
      <c r="B6" s="128">
        <v>8843880</v>
      </c>
      <c r="C6" s="128"/>
      <c r="D6" s="137" t="s">
        <v>1182</v>
      </c>
      <c r="E6" s="128"/>
      <c r="F6" s="12">
        <v>42318</v>
      </c>
      <c r="G6" s="169"/>
      <c r="H6" s="169"/>
      <c r="I6" s="39">
        <v>103793.48</v>
      </c>
      <c r="J6" s="32">
        <f t="shared" ref="J6:J15" si="0">I6*0.8</f>
        <v>83034.784</v>
      </c>
    </row>
    <row r="7" spans="1:10" x14ac:dyDescent="0.2">
      <c r="A7" s="9">
        <v>2</v>
      </c>
      <c r="B7" s="128">
        <v>8831149</v>
      </c>
      <c r="C7" s="128"/>
      <c r="D7" s="128">
        <v>8830002</v>
      </c>
      <c r="E7" s="128"/>
      <c r="F7" s="12">
        <v>42401</v>
      </c>
      <c r="G7" s="169"/>
      <c r="H7" s="169"/>
      <c r="I7" s="39">
        <v>231795</v>
      </c>
      <c r="J7" s="32">
        <f t="shared" si="0"/>
        <v>185436</v>
      </c>
    </row>
    <row r="8" spans="1:10" x14ac:dyDescent="0.2">
      <c r="A8" s="9">
        <v>3</v>
      </c>
      <c r="B8" s="128">
        <v>8835195</v>
      </c>
      <c r="C8" s="128"/>
      <c r="D8" s="128">
        <v>8830001</v>
      </c>
      <c r="E8" s="128"/>
      <c r="F8" s="12">
        <v>42401</v>
      </c>
      <c r="G8" s="169"/>
      <c r="H8" s="169"/>
      <c r="I8" s="39">
        <v>221840.4</v>
      </c>
      <c r="J8" s="32">
        <f t="shared" si="0"/>
        <v>177472.32</v>
      </c>
    </row>
    <row r="9" spans="1:10" x14ac:dyDescent="0.2">
      <c r="A9" s="9">
        <v>4</v>
      </c>
      <c r="B9" s="128">
        <v>8839107</v>
      </c>
      <c r="C9" s="128"/>
      <c r="D9" s="137" t="s">
        <v>1182</v>
      </c>
      <c r="E9" s="128"/>
      <c r="F9" s="12">
        <v>42912</v>
      </c>
      <c r="G9" s="169"/>
      <c r="H9" s="169"/>
      <c r="I9" s="39">
        <v>216345</v>
      </c>
      <c r="J9" s="32">
        <f t="shared" si="0"/>
        <v>173076</v>
      </c>
    </row>
    <row r="10" spans="1:10" x14ac:dyDescent="0.2">
      <c r="A10" s="9">
        <v>5</v>
      </c>
      <c r="B10" s="128">
        <v>8839352</v>
      </c>
      <c r="C10" s="128"/>
      <c r="D10" s="137" t="s">
        <v>1182</v>
      </c>
      <c r="E10" s="128"/>
      <c r="F10" s="12">
        <v>42912</v>
      </c>
      <c r="G10" s="169"/>
      <c r="H10" s="169"/>
      <c r="I10" s="39">
        <v>229955</v>
      </c>
      <c r="J10" s="32">
        <f t="shared" si="0"/>
        <v>183964</v>
      </c>
    </row>
    <row r="11" spans="1:10" x14ac:dyDescent="0.2">
      <c r="A11" s="9">
        <v>6</v>
      </c>
      <c r="B11" s="128">
        <v>8846022</v>
      </c>
      <c r="C11" s="128"/>
      <c r="D11" s="137" t="s">
        <v>1182</v>
      </c>
      <c r="E11" s="128"/>
      <c r="F11" s="12">
        <v>42912</v>
      </c>
      <c r="G11" s="169"/>
      <c r="H11" s="169"/>
      <c r="I11" s="39">
        <v>114032.06</v>
      </c>
      <c r="J11" s="32">
        <f t="shared" si="0"/>
        <v>91225.648000000001</v>
      </c>
    </row>
    <row r="12" spans="1:10" x14ac:dyDescent="0.2">
      <c r="A12" s="9">
        <v>7</v>
      </c>
      <c r="B12" s="128">
        <v>8838003</v>
      </c>
      <c r="C12" s="128"/>
      <c r="D12" s="128">
        <v>8838004</v>
      </c>
      <c r="E12" s="128"/>
      <c r="F12" s="12">
        <v>43249</v>
      </c>
      <c r="G12" s="169"/>
      <c r="H12" s="169"/>
      <c r="I12" s="39">
        <v>197306.25</v>
      </c>
      <c r="J12" s="32">
        <f t="shared" si="0"/>
        <v>157845</v>
      </c>
    </row>
    <row r="13" spans="1:10" x14ac:dyDescent="0.2">
      <c r="A13" s="9">
        <v>8</v>
      </c>
      <c r="B13" s="128">
        <v>8841683</v>
      </c>
      <c r="C13" s="128"/>
      <c r="D13" s="128">
        <v>8841684</v>
      </c>
      <c r="E13" s="128"/>
      <c r="F13" s="12">
        <v>43452</v>
      </c>
      <c r="G13" s="169"/>
      <c r="H13" s="169"/>
      <c r="I13" s="39">
        <v>195819</v>
      </c>
      <c r="J13" s="32">
        <f t="shared" si="0"/>
        <v>156655.20000000001</v>
      </c>
    </row>
    <row r="14" spans="1:10" x14ac:dyDescent="0.2">
      <c r="A14" s="9">
        <v>9</v>
      </c>
      <c r="B14" s="128">
        <v>8847770</v>
      </c>
      <c r="C14" s="128"/>
      <c r="D14" s="128">
        <v>8847771</v>
      </c>
      <c r="E14" s="128"/>
      <c r="F14" s="12">
        <v>43895</v>
      </c>
      <c r="G14" s="169"/>
      <c r="H14" s="169"/>
      <c r="I14" s="39">
        <v>268569</v>
      </c>
      <c r="J14" s="32">
        <f t="shared" si="0"/>
        <v>214855.2</v>
      </c>
    </row>
    <row r="15" spans="1:10" x14ac:dyDescent="0.2">
      <c r="A15" s="9">
        <v>10</v>
      </c>
      <c r="B15" s="128">
        <v>8845646</v>
      </c>
      <c r="C15" s="128"/>
      <c r="D15" s="128" t="s">
        <v>1182</v>
      </c>
      <c r="E15" s="128"/>
      <c r="F15" s="12">
        <v>44679</v>
      </c>
      <c r="G15" s="169"/>
      <c r="H15" s="169"/>
      <c r="I15" s="39">
        <v>213082.2</v>
      </c>
      <c r="J15" s="32">
        <f t="shared" si="0"/>
        <v>170465.76</v>
      </c>
    </row>
    <row r="16" spans="1:10" x14ac:dyDescent="0.2">
      <c r="A16" s="9"/>
      <c r="B16" s="128"/>
      <c r="C16" s="128"/>
      <c r="D16" s="128"/>
      <c r="E16" s="128"/>
      <c r="F16" s="12"/>
      <c r="G16" s="169"/>
      <c r="H16" s="169"/>
      <c r="I16" s="39"/>
      <c r="J16" s="32"/>
    </row>
    <row r="17" spans="1:10" ht="13.5" thickBot="1" x14ac:dyDescent="0.25">
      <c r="A17" s="9"/>
      <c r="B17" s="128"/>
      <c r="C17" s="128"/>
      <c r="D17" s="128"/>
      <c r="E17" s="128"/>
      <c r="F17" s="12"/>
      <c r="G17" s="169"/>
      <c r="H17" s="169"/>
      <c r="I17" s="41"/>
      <c r="J17" s="55"/>
    </row>
    <row r="18" spans="1:10" ht="13.5" thickTop="1" x14ac:dyDescent="0.2">
      <c r="A18" s="13"/>
      <c r="B18" s="13"/>
      <c r="C18" s="13"/>
      <c r="D18" s="13"/>
      <c r="E18" s="13"/>
      <c r="F18" s="13"/>
      <c r="G18" s="13"/>
      <c r="H18" s="13" t="s">
        <v>33</v>
      </c>
      <c r="I18" s="43">
        <f>SUM(I6:I17)</f>
        <v>1992537.39</v>
      </c>
      <c r="J18" s="78">
        <f>SUM(J6:J17)</f>
        <v>1594029.912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31" t="s">
        <v>34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x14ac:dyDescent="0.2">
      <c r="A21" s="169" t="s">
        <v>23</v>
      </c>
      <c r="B21" s="169" t="s">
        <v>35</v>
      </c>
      <c r="C21" s="169"/>
      <c r="D21" s="169" t="s">
        <v>36</v>
      </c>
      <c r="E21" s="169" t="s">
        <v>37</v>
      </c>
      <c r="F21" s="169"/>
      <c r="G21" s="169" t="s">
        <v>38</v>
      </c>
      <c r="H21" s="169"/>
      <c r="I21" s="169" t="s">
        <v>39</v>
      </c>
      <c r="J21" s="169"/>
    </row>
    <row r="22" spans="1:10" x14ac:dyDescent="0.2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x14ac:dyDescent="0.2">
      <c r="A23" s="82"/>
      <c r="B23" s="252"/>
      <c r="C23" s="198"/>
      <c r="D23" s="82"/>
      <c r="E23" s="253"/>
      <c r="F23" s="198"/>
      <c r="G23" s="252"/>
      <c r="H23" s="198"/>
      <c r="I23" s="199"/>
      <c r="J23" s="199"/>
    </row>
    <row r="24" spans="1:10" x14ac:dyDescent="0.2">
      <c r="A24" s="58"/>
      <c r="B24" s="151"/>
      <c r="C24" s="151"/>
      <c r="D24" s="58"/>
      <c r="E24" s="151"/>
      <c r="F24" s="151"/>
      <c r="G24" s="151"/>
      <c r="H24" s="151"/>
      <c r="I24" s="152"/>
      <c r="J24" s="152"/>
    </row>
    <row r="25" spans="1:10" x14ac:dyDescent="0.2">
      <c r="A25" s="19"/>
      <c r="B25" s="137"/>
      <c r="C25" s="137"/>
      <c r="D25" s="19"/>
      <c r="E25" s="137"/>
      <c r="F25" s="137"/>
      <c r="G25" s="151"/>
      <c r="H25" s="151"/>
      <c r="I25" s="152"/>
      <c r="J25" s="152"/>
    </row>
    <row r="26" spans="1:10" x14ac:dyDescent="0.2">
      <c r="A26" s="19"/>
      <c r="B26" s="137"/>
      <c r="C26" s="137"/>
      <c r="D26" s="19"/>
      <c r="E26" s="137"/>
      <c r="F26" s="137"/>
      <c r="G26" s="137"/>
      <c r="H26" s="137"/>
      <c r="I26" s="138"/>
      <c r="J26" s="138"/>
    </row>
    <row r="27" spans="1:10" x14ac:dyDescent="0.2">
      <c r="A27" s="19"/>
      <c r="B27" s="137"/>
      <c r="C27" s="137"/>
      <c r="D27" s="19"/>
      <c r="E27" s="137"/>
      <c r="F27" s="137"/>
      <c r="G27" s="137"/>
      <c r="H27" s="137"/>
      <c r="I27" s="138"/>
      <c r="J27" s="138"/>
    </row>
    <row r="28" spans="1:10" x14ac:dyDescent="0.2">
      <c r="A28" s="19"/>
      <c r="B28" s="137"/>
      <c r="C28" s="137"/>
      <c r="D28" s="19"/>
      <c r="E28" s="137"/>
      <c r="F28" s="137"/>
      <c r="G28" s="137"/>
      <c r="H28" s="137"/>
      <c r="I28" s="138"/>
      <c r="J28" s="138"/>
    </row>
    <row r="29" spans="1:10" x14ac:dyDescent="0.2">
      <c r="A29" s="58"/>
      <c r="B29" s="151"/>
      <c r="C29" s="151"/>
      <c r="D29" s="58"/>
      <c r="E29" s="151"/>
      <c r="F29" s="151"/>
      <c r="G29" s="151"/>
      <c r="H29" s="151"/>
      <c r="I29" s="152"/>
      <c r="J29" s="152"/>
    </row>
    <row r="30" spans="1:10" x14ac:dyDescent="0.2">
      <c r="A30" s="58"/>
      <c r="B30" s="151"/>
      <c r="C30" s="151"/>
      <c r="D30" s="58"/>
      <c r="E30" s="151"/>
      <c r="F30" s="151"/>
      <c r="G30" s="151"/>
      <c r="H30" s="151"/>
      <c r="I30" s="152"/>
      <c r="J30" s="152"/>
    </row>
    <row r="31" spans="1:10" x14ac:dyDescent="0.2">
      <c r="A31" s="9"/>
      <c r="B31" s="128"/>
      <c r="C31" s="128"/>
      <c r="D31" s="9"/>
      <c r="E31" s="128"/>
      <c r="F31" s="128"/>
      <c r="G31" s="128"/>
      <c r="H31" s="128"/>
      <c r="I31" s="136"/>
      <c r="J31" s="136"/>
    </row>
    <row r="32" spans="1:10" x14ac:dyDescent="0.2">
      <c r="A32" s="9"/>
      <c r="B32" s="128"/>
      <c r="C32" s="128"/>
      <c r="D32" s="9"/>
      <c r="E32" s="128"/>
      <c r="F32" s="128"/>
      <c r="G32" s="128"/>
      <c r="H32" s="128"/>
      <c r="I32" s="136"/>
      <c r="J32" s="136"/>
    </row>
    <row r="33" spans="1:10" ht="13.5" thickBot="1" x14ac:dyDescent="0.25">
      <c r="A33" s="9"/>
      <c r="B33" s="128"/>
      <c r="C33" s="128"/>
      <c r="D33" s="9"/>
      <c r="E33" s="128"/>
      <c r="F33" s="128"/>
      <c r="G33" s="128"/>
      <c r="H33" s="128"/>
      <c r="I33" s="226"/>
      <c r="J33" s="226"/>
    </row>
    <row r="34" spans="1:10" ht="13.5" thickTop="1" x14ac:dyDescent="0.2">
      <c r="A34" s="13"/>
      <c r="B34" s="13"/>
      <c r="C34" s="13"/>
      <c r="D34" s="13"/>
      <c r="E34" s="13"/>
      <c r="F34" s="13"/>
      <c r="G34" s="13"/>
      <c r="H34" s="13" t="s">
        <v>33</v>
      </c>
      <c r="I34" s="140">
        <f>SUM(I23:J33)</f>
        <v>0</v>
      </c>
      <c r="J34" s="140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x14ac:dyDescent="0.25">
      <c r="A36" s="15" t="s">
        <v>46</v>
      </c>
      <c r="B36" s="16"/>
      <c r="C36" s="16"/>
      <c r="D36" s="16"/>
      <c r="E36" s="16"/>
      <c r="F36" s="16"/>
      <c r="G36" s="16"/>
      <c r="H36" s="16"/>
      <c r="I36" s="149" t="s">
        <v>47</v>
      </c>
      <c r="J36" s="150"/>
    </row>
    <row r="37" spans="1:10" x14ac:dyDescent="0.2">
      <c r="A37" s="144" t="s">
        <v>48</v>
      </c>
      <c r="B37" s="144"/>
      <c r="C37" s="144"/>
      <c r="D37" s="144"/>
      <c r="E37" s="144"/>
      <c r="F37" s="144"/>
      <c r="G37" s="144"/>
      <c r="H37" s="144"/>
      <c r="I37" s="148">
        <f>I18*80%</f>
        <v>1594029.912</v>
      </c>
      <c r="J37" s="148"/>
    </row>
    <row r="38" spans="1:10" x14ac:dyDescent="0.2">
      <c r="A38" s="144" t="s">
        <v>49</v>
      </c>
      <c r="B38" s="144"/>
      <c r="C38" s="144"/>
      <c r="D38" s="144"/>
      <c r="E38" s="144"/>
      <c r="F38" s="144"/>
      <c r="G38" s="144"/>
      <c r="H38" s="144"/>
      <c r="I38" s="184"/>
      <c r="J38" s="184"/>
    </row>
    <row r="39" spans="1:10" x14ac:dyDescent="0.2">
      <c r="A39" s="134" t="s">
        <v>1571</v>
      </c>
      <c r="B39" s="134"/>
      <c r="C39" s="134"/>
      <c r="D39" s="134"/>
      <c r="E39" s="134"/>
      <c r="F39" s="134"/>
      <c r="G39" s="134"/>
      <c r="H39" s="134"/>
      <c r="I39" s="135">
        <v>-128157.08</v>
      </c>
      <c r="J39" s="135"/>
    </row>
    <row r="40" spans="1:10" x14ac:dyDescent="0.2">
      <c r="A40" s="134" t="s">
        <v>1570</v>
      </c>
      <c r="B40" s="134"/>
      <c r="C40" s="134"/>
      <c r="D40" s="134"/>
      <c r="E40" s="134"/>
      <c r="F40" s="134"/>
      <c r="G40" s="134"/>
      <c r="H40" s="134"/>
      <c r="I40" s="135">
        <v>-153413.65</v>
      </c>
      <c r="J40" s="135"/>
    </row>
    <row r="41" spans="1:10" x14ac:dyDescent="0.2">
      <c r="A41" s="144" t="s">
        <v>1568</v>
      </c>
      <c r="B41" s="144"/>
      <c r="C41" s="144"/>
      <c r="D41" s="144"/>
      <c r="E41" s="144"/>
      <c r="F41" s="144"/>
      <c r="G41" s="144"/>
      <c r="H41" s="144"/>
      <c r="I41" s="148">
        <v>-47809.98</v>
      </c>
      <c r="J41" s="148"/>
    </row>
    <row r="42" spans="1:10" ht="13.5" thickBot="1" x14ac:dyDescent="0.25">
      <c r="A42" s="144" t="s">
        <v>50</v>
      </c>
      <c r="B42" s="144"/>
      <c r="C42" s="144"/>
      <c r="D42" s="144"/>
      <c r="E42" s="144"/>
      <c r="F42" s="144"/>
      <c r="G42" s="144"/>
      <c r="H42" s="144"/>
      <c r="I42" s="145">
        <f>I34</f>
        <v>0</v>
      </c>
      <c r="J42" s="145"/>
    </row>
    <row r="43" spans="1:10" ht="13.5" thickTop="1" x14ac:dyDescent="0.2">
      <c r="H43" s="18" t="s">
        <v>33</v>
      </c>
      <c r="I43" s="129">
        <f>I37+I38+I39+I40+I41-I42</f>
        <v>1264649.202</v>
      </c>
      <c r="J43" s="130"/>
    </row>
    <row r="45" spans="1:10" ht="15" x14ac:dyDescent="0.25">
      <c r="A45" s="131" t="s">
        <v>51</v>
      </c>
      <c r="B45" s="132"/>
      <c r="C45" s="132"/>
      <c r="D45" s="132"/>
      <c r="E45" s="132"/>
      <c r="F45" s="132"/>
      <c r="G45" s="132"/>
      <c r="H45" s="132"/>
      <c r="I45" s="132"/>
      <c r="J45" s="133"/>
    </row>
    <row r="46" spans="1:10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</row>
    <row r="47" spans="1:10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</row>
    <row r="49" spans="1:10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</sheetData>
  <mergeCells count="113"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A3:J3"/>
    <mergeCell ref="A4:A5"/>
    <mergeCell ref="B4:E4"/>
    <mergeCell ref="F4:F5"/>
    <mergeCell ref="G4:H5"/>
    <mergeCell ref="I4:I5"/>
    <mergeCell ref="J4:J5"/>
    <mergeCell ref="B5:C5"/>
    <mergeCell ref="D5:E5"/>
    <mergeCell ref="B9:C9"/>
    <mergeCell ref="D9:E9"/>
    <mergeCell ref="G9:H9"/>
    <mergeCell ref="B10:C10"/>
    <mergeCell ref="B12:C12"/>
    <mergeCell ref="D12:E12"/>
    <mergeCell ref="G12:H12"/>
    <mergeCell ref="A40:H40"/>
    <mergeCell ref="I40:J40"/>
    <mergeCell ref="B14:C14"/>
    <mergeCell ref="D14:E14"/>
    <mergeCell ref="G14:H14"/>
    <mergeCell ref="B11:C11"/>
    <mergeCell ref="B13:C13"/>
    <mergeCell ref="D13:E13"/>
    <mergeCell ref="G13:H13"/>
    <mergeCell ref="D10:E10"/>
    <mergeCell ref="G10:H10"/>
    <mergeCell ref="I21:J22"/>
    <mergeCell ref="B16:C16"/>
    <mergeCell ref="D16:E16"/>
    <mergeCell ref="G16:H16"/>
    <mergeCell ref="B17:C17"/>
    <mergeCell ref="D17:E17"/>
    <mergeCell ref="G17:H17"/>
    <mergeCell ref="D11:E11"/>
    <mergeCell ref="G11:H11"/>
    <mergeCell ref="B23:C23"/>
    <mergeCell ref="E23:F23"/>
    <mergeCell ref="G23:H23"/>
    <mergeCell ref="I23:J23"/>
    <mergeCell ref="A20:J20"/>
    <mergeCell ref="A21:A22"/>
    <mergeCell ref="B21:C22"/>
    <mergeCell ref="D21:D22"/>
    <mergeCell ref="E21:F22"/>
    <mergeCell ref="G21:H22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G30:H30"/>
    <mergeCell ref="I30:J30"/>
    <mergeCell ref="B31:C31"/>
    <mergeCell ref="E31:F31"/>
    <mergeCell ref="B32:C32"/>
    <mergeCell ref="E32:F32"/>
    <mergeCell ref="G32:H32"/>
    <mergeCell ref="I32:J32"/>
    <mergeCell ref="B27:C27"/>
    <mergeCell ref="E27:F27"/>
    <mergeCell ref="G27:H27"/>
    <mergeCell ref="I27:J27"/>
    <mergeCell ref="G31:H31"/>
    <mergeCell ref="I31:J31"/>
    <mergeCell ref="B28:C28"/>
    <mergeCell ref="E28:F28"/>
    <mergeCell ref="G28:H28"/>
    <mergeCell ref="I28:J28"/>
    <mergeCell ref="B29:C29"/>
    <mergeCell ref="E29:F29"/>
    <mergeCell ref="G29:H29"/>
    <mergeCell ref="I29:J29"/>
    <mergeCell ref="A41:H41"/>
    <mergeCell ref="I41:J41"/>
    <mergeCell ref="B15:C15"/>
    <mergeCell ref="D15:E15"/>
    <mergeCell ref="G15:H15"/>
    <mergeCell ref="A46:J51"/>
    <mergeCell ref="I34:J34"/>
    <mergeCell ref="I36:J36"/>
    <mergeCell ref="A37:H37"/>
    <mergeCell ref="I37:J37"/>
    <mergeCell ref="A38:H38"/>
    <mergeCell ref="I38:J38"/>
    <mergeCell ref="A39:H39"/>
    <mergeCell ref="I39:J39"/>
    <mergeCell ref="A42:H42"/>
    <mergeCell ref="I42:J42"/>
    <mergeCell ref="I43:J43"/>
    <mergeCell ref="A45:J45"/>
    <mergeCell ref="B33:C33"/>
    <mergeCell ref="E33:F33"/>
    <mergeCell ref="G33:H33"/>
    <mergeCell ref="I33:J33"/>
    <mergeCell ref="B30:C30"/>
    <mergeCell ref="E30:F30"/>
  </mergeCells>
  <phoneticPr fontId="6" type="noConversion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J43"/>
  <sheetViews>
    <sheetView topLeftCell="A10" workbookViewId="0">
      <selection activeCell="I33" sqref="I33:J33"/>
    </sheetView>
  </sheetViews>
  <sheetFormatPr defaultRowHeight="12.75" x14ac:dyDescent="0.2"/>
  <cols>
    <col min="6" max="6" width="11.7109375" customWidth="1"/>
    <col min="8" max="8" width="11.5703125" customWidth="1"/>
    <col min="9" max="9" width="11.140625" bestFit="1" customWidth="1"/>
    <col min="10" max="10" width="11.4257812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163</v>
      </c>
      <c r="B2" s="6"/>
      <c r="C2" s="6"/>
      <c r="D2" s="6"/>
      <c r="E2" s="6"/>
      <c r="F2" s="6"/>
      <c r="G2" s="6"/>
      <c r="H2" s="6"/>
      <c r="I2" s="6"/>
      <c r="J2" s="7" t="s">
        <v>164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83" t="s">
        <v>165</v>
      </c>
      <c r="C6" s="128"/>
      <c r="D6" s="183" t="s">
        <v>166</v>
      </c>
      <c r="E6" s="128"/>
      <c r="F6" s="12">
        <v>35691</v>
      </c>
      <c r="G6" s="169" t="s">
        <v>167</v>
      </c>
      <c r="H6" s="169"/>
      <c r="I6" s="32">
        <v>63551.88</v>
      </c>
      <c r="J6" s="32">
        <f t="shared" ref="J6:J11" si="0">I6*0.8</f>
        <v>50841.504000000001</v>
      </c>
    </row>
    <row r="7" spans="1:10" x14ac:dyDescent="0.2">
      <c r="A7" s="9">
        <v>2</v>
      </c>
      <c r="B7" s="183" t="s">
        <v>168</v>
      </c>
      <c r="C7" s="128"/>
      <c r="D7" s="183" t="s">
        <v>169</v>
      </c>
      <c r="E7" s="128"/>
      <c r="F7" s="12">
        <v>35691</v>
      </c>
      <c r="G7" s="169" t="s">
        <v>170</v>
      </c>
      <c r="H7" s="169"/>
      <c r="I7" s="32">
        <v>63295.92</v>
      </c>
      <c r="J7" s="32">
        <f t="shared" si="0"/>
        <v>50636.736000000004</v>
      </c>
    </row>
    <row r="8" spans="1:10" x14ac:dyDescent="0.2">
      <c r="A8" s="9">
        <v>3</v>
      </c>
      <c r="B8" s="183" t="s">
        <v>171</v>
      </c>
      <c r="C8" s="128"/>
      <c r="D8" s="183" t="s">
        <v>172</v>
      </c>
      <c r="E8" s="128"/>
      <c r="F8" s="12">
        <v>35691</v>
      </c>
      <c r="G8" s="169" t="s">
        <v>173</v>
      </c>
      <c r="H8" s="169"/>
      <c r="I8" s="32">
        <v>46262.879999999997</v>
      </c>
      <c r="J8" s="32">
        <f t="shared" si="0"/>
        <v>37010.303999999996</v>
      </c>
    </row>
    <row r="9" spans="1:10" x14ac:dyDescent="0.2">
      <c r="A9" s="9">
        <v>4</v>
      </c>
      <c r="B9" s="183" t="s">
        <v>174</v>
      </c>
      <c r="C9" s="128"/>
      <c r="D9" s="128"/>
      <c r="E9" s="128"/>
      <c r="F9" s="12">
        <v>35802</v>
      </c>
      <c r="G9" s="169" t="s">
        <v>175</v>
      </c>
      <c r="H9" s="169"/>
      <c r="I9" s="32">
        <v>62783.68</v>
      </c>
      <c r="J9" s="32">
        <f t="shared" si="0"/>
        <v>50226.944000000003</v>
      </c>
    </row>
    <row r="10" spans="1:10" x14ac:dyDescent="0.2">
      <c r="A10" s="9">
        <v>5</v>
      </c>
      <c r="B10" s="183" t="s">
        <v>176</v>
      </c>
      <c r="C10" s="128"/>
      <c r="D10" s="128"/>
      <c r="E10" s="128"/>
      <c r="F10" s="12">
        <v>35565</v>
      </c>
      <c r="G10" s="169" t="s">
        <v>177</v>
      </c>
      <c r="H10" s="169"/>
      <c r="I10" s="32">
        <v>47924.22</v>
      </c>
      <c r="J10" s="32">
        <f t="shared" si="0"/>
        <v>38339.376000000004</v>
      </c>
    </row>
    <row r="11" spans="1:10" x14ac:dyDescent="0.2">
      <c r="A11" s="9">
        <v>6</v>
      </c>
      <c r="B11" s="183" t="s">
        <v>178</v>
      </c>
      <c r="C11" s="128"/>
      <c r="D11" s="128"/>
      <c r="E11" s="128"/>
      <c r="F11" s="12">
        <v>35802</v>
      </c>
      <c r="G11" s="169" t="s">
        <v>179</v>
      </c>
      <c r="H11" s="169"/>
      <c r="I11" s="32">
        <v>57750</v>
      </c>
      <c r="J11" s="32">
        <f t="shared" si="0"/>
        <v>46200</v>
      </c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32"/>
      <c r="J12" s="32"/>
    </row>
    <row r="13" spans="1:10" x14ac:dyDescent="0.2">
      <c r="A13" s="13"/>
      <c r="B13" s="13"/>
      <c r="C13" s="13"/>
      <c r="D13" s="13"/>
      <c r="E13" s="13"/>
      <c r="F13" s="13"/>
      <c r="G13" s="13"/>
      <c r="H13" s="13" t="s">
        <v>33</v>
      </c>
      <c r="I13" s="33">
        <f>SUM(I6:I12)</f>
        <v>341568.57999999996</v>
      </c>
      <c r="J13" s="33">
        <f>SUM(J6:K12)</f>
        <v>273254.864</v>
      </c>
    </row>
    <row r="14" spans="1:10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 x14ac:dyDescent="0.25">
      <c r="A15" s="131" t="s">
        <v>34</v>
      </c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x14ac:dyDescent="0.2">
      <c r="A16" s="169" t="s">
        <v>23</v>
      </c>
      <c r="B16" s="169" t="s">
        <v>35</v>
      </c>
      <c r="C16" s="169"/>
      <c r="D16" s="169" t="s">
        <v>36</v>
      </c>
      <c r="E16" s="169" t="s">
        <v>37</v>
      </c>
      <c r="F16" s="169"/>
      <c r="G16" s="169" t="s">
        <v>38</v>
      </c>
      <c r="H16" s="169"/>
      <c r="I16" s="169" t="s">
        <v>39</v>
      </c>
      <c r="J16" s="169"/>
    </row>
    <row r="17" spans="1:10" x14ac:dyDescent="0.2">
      <c r="A17" s="169"/>
      <c r="B17" s="169"/>
      <c r="C17" s="169"/>
      <c r="D17" s="169"/>
      <c r="E17" s="169"/>
      <c r="F17" s="169"/>
      <c r="G17" s="169"/>
      <c r="H17" s="169"/>
      <c r="I17" s="169"/>
      <c r="J17" s="169"/>
    </row>
    <row r="18" spans="1:10" x14ac:dyDescent="0.2">
      <c r="A18" s="9">
        <v>1</v>
      </c>
      <c r="B18" s="183" t="s">
        <v>180</v>
      </c>
      <c r="C18" s="128"/>
      <c r="D18" s="9">
        <v>7163</v>
      </c>
      <c r="E18" s="182">
        <v>36586</v>
      </c>
      <c r="F18" s="128"/>
      <c r="G18" s="128">
        <v>812001</v>
      </c>
      <c r="H18" s="128"/>
      <c r="I18" s="136">
        <v>157256</v>
      </c>
      <c r="J18" s="136"/>
    </row>
    <row r="19" spans="1:10" x14ac:dyDescent="0.2">
      <c r="A19" s="9">
        <v>2</v>
      </c>
      <c r="B19" s="183">
        <v>494880</v>
      </c>
      <c r="C19" s="128"/>
      <c r="D19" s="9">
        <v>75721</v>
      </c>
      <c r="E19" s="182"/>
      <c r="F19" s="128"/>
      <c r="G19" s="128" t="s">
        <v>892</v>
      </c>
      <c r="H19" s="128"/>
      <c r="I19" s="136">
        <v>49361</v>
      </c>
      <c r="J19" s="136"/>
    </row>
    <row r="20" spans="1:10" x14ac:dyDescent="0.2">
      <c r="A20" s="19">
        <v>3</v>
      </c>
      <c r="B20" s="137">
        <v>491640</v>
      </c>
      <c r="C20" s="137"/>
      <c r="D20" s="19">
        <v>18811</v>
      </c>
      <c r="E20" s="137" t="s">
        <v>183</v>
      </c>
      <c r="F20" s="137"/>
      <c r="G20" s="164" t="s">
        <v>940</v>
      </c>
      <c r="H20" s="228"/>
      <c r="I20" s="138">
        <v>161309</v>
      </c>
      <c r="J20" s="138"/>
    </row>
    <row r="21" spans="1:10" x14ac:dyDescent="0.2">
      <c r="A21" s="9">
        <v>4</v>
      </c>
      <c r="B21" s="128"/>
      <c r="C21" s="128"/>
      <c r="D21" s="9">
        <v>78609</v>
      </c>
      <c r="E21" s="128"/>
      <c r="F21" s="128"/>
      <c r="G21" s="128" t="s">
        <v>182</v>
      </c>
      <c r="H21" s="128"/>
      <c r="I21" s="136">
        <v>66750</v>
      </c>
      <c r="J21" s="136"/>
    </row>
    <row r="22" spans="1:10" x14ac:dyDescent="0.2">
      <c r="A22" s="26"/>
      <c r="B22" s="236"/>
      <c r="C22" s="236"/>
      <c r="D22" s="26"/>
      <c r="E22" s="236"/>
      <c r="F22" s="236"/>
      <c r="G22" s="236"/>
      <c r="H22" s="236"/>
      <c r="I22" s="247"/>
      <c r="J22" s="247"/>
    </row>
    <row r="23" spans="1:10" x14ac:dyDescent="0.2">
      <c r="A23" s="9"/>
      <c r="B23" s="128"/>
      <c r="C23" s="128"/>
      <c r="D23" s="9"/>
      <c r="E23" s="128"/>
      <c r="F23" s="128"/>
      <c r="G23" s="128"/>
      <c r="H23" s="128"/>
      <c r="I23" s="136"/>
      <c r="J23" s="136"/>
    </row>
    <row r="24" spans="1:10" x14ac:dyDescent="0.2">
      <c r="A24" s="9"/>
      <c r="B24" s="128"/>
      <c r="C24" s="128"/>
      <c r="D24" s="9"/>
      <c r="E24" s="128"/>
      <c r="F24" s="128"/>
      <c r="G24" s="128"/>
      <c r="H24" s="128"/>
      <c r="I24" s="136"/>
      <c r="J24" s="136"/>
    </row>
    <row r="25" spans="1:10" ht="13.5" thickBot="1" x14ac:dyDescent="0.25">
      <c r="A25" s="9"/>
      <c r="B25" s="128"/>
      <c r="C25" s="128"/>
      <c r="D25" s="9"/>
      <c r="E25" s="128"/>
      <c r="F25" s="128"/>
      <c r="G25" s="128"/>
      <c r="H25" s="128"/>
      <c r="I25" s="226"/>
      <c r="J25" s="226"/>
    </row>
    <row r="26" spans="1:10" ht="13.5" thickTop="1" x14ac:dyDescent="0.2">
      <c r="A26" s="13"/>
      <c r="B26" s="13"/>
      <c r="C26" s="13"/>
      <c r="D26" s="13"/>
      <c r="E26" s="13"/>
      <c r="F26" s="13"/>
      <c r="G26" s="13"/>
      <c r="H26" s="13" t="s">
        <v>33</v>
      </c>
      <c r="I26" s="140">
        <f>SUM(I18:J25)</f>
        <v>434676</v>
      </c>
      <c r="J26" s="140"/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5" t="s">
        <v>46</v>
      </c>
      <c r="B28" s="16"/>
      <c r="C28" s="16"/>
      <c r="D28" s="16"/>
      <c r="E28" s="16"/>
      <c r="F28" s="16"/>
      <c r="G28" s="16"/>
      <c r="H28" s="16"/>
      <c r="I28" s="149" t="s">
        <v>47</v>
      </c>
      <c r="J28" s="150"/>
    </row>
    <row r="29" spans="1:10" x14ac:dyDescent="0.2">
      <c r="A29" s="144" t="s">
        <v>48</v>
      </c>
      <c r="B29" s="144"/>
      <c r="C29" s="144"/>
      <c r="D29" s="144"/>
      <c r="E29" s="144"/>
      <c r="F29" s="144"/>
      <c r="G29" s="144"/>
      <c r="H29" s="144"/>
      <c r="I29" s="148">
        <f>I13*80%</f>
        <v>273254.864</v>
      </c>
      <c r="J29" s="148"/>
    </row>
    <row r="30" spans="1:10" x14ac:dyDescent="0.2">
      <c r="A30" s="144" t="s">
        <v>49</v>
      </c>
      <c r="B30" s="144"/>
      <c r="C30" s="144"/>
      <c r="D30" s="144"/>
      <c r="E30" s="144"/>
      <c r="F30" s="144"/>
      <c r="G30" s="144"/>
      <c r="H30" s="144"/>
      <c r="I30" s="184">
        <v>3</v>
      </c>
      <c r="J30" s="184"/>
    </row>
    <row r="31" spans="1:10" x14ac:dyDescent="0.2">
      <c r="A31" s="185" t="s">
        <v>886</v>
      </c>
      <c r="B31" s="142"/>
      <c r="C31" s="142"/>
      <c r="D31" s="142"/>
      <c r="E31" s="142"/>
      <c r="F31" s="142"/>
      <c r="G31" s="142"/>
      <c r="H31" s="143"/>
      <c r="I31" s="146">
        <v>-24289</v>
      </c>
      <c r="J31" s="147"/>
    </row>
    <row r="32" spans="1:10" x14ac:dyDescent="0.2">
      <c r="A32" s="185" t="s">
        <v>919</v>
      </c>
      <c r="B32" s="142"/>
      <c r="C32" s="142"/>
      <c r="D32" s="142"/>
      <c r="E32" s="142"/>
      <c r="F32" s="142"/>
      <c r="G32" s="142"/>
      <c r="H32" s="143"/>
      <c r="I32" s="146">
        <v>118957</v>
      </c>
      <c r="J32" s="147"/>
    </row>
    <row r="33" spans="1:10" x14ac:dyDescent="0.2">
      <c r="A33" s="186" t="s">
        <v>969</v>
      </c>
      <c r="B33" s="142"/>
      <c r="C33" s="142"/>
      <c r="D33" s="142"/>
      <c r="E33" s="142"/>
      <c r="F33" s="142"/>
      <c r="G33" s="142"/>
      <c r="H33" s="143"/>
      <c r="I33" s="146">
        <v>66750</v>
      </c>
      <c r="J33" s="147"/>
    </row>
    <row r="34" spans="1:10" ht="13.5" thickBot="1" x14ac:dyDescent="0.25">
      <c r="A34" s="144" t="s">
        <v>50</v>
      </c>
      <c r="B34" s="144"/>
      <c r="C34" s="144"/>
      <c r="D34" s="144"/>
      <c r="E34" s="144"/>
      <c r="F34" s="144"/>
      <c r="G34" s="144"/>
      <c r="H34" s="144"/>
      <c r="I34" s="145">
        <f>I26</f>
        <v>434676</v>
      </c>
      <c r="J34" s="145"/>
    </row>
    <row r="35" spans="1:10" ht="13.5" thickTop="1" x14ac:dyDescent="0.2">
      <c r="H35" s="18" t="s">
        <v>33</v>
      </c>
      <c r="I35" s="129">
        <f>I29+I30+I31+I32+I33-I34</f>
        <v>-0.13599999999860302</v>
      </c>
      <c r="J35" s="130"/>
    </row>
    <row r="37" spans="1:10" ht="15" x14ac:dyDescent="0.25">
      <c r="A37" s="131" t="s">
        <v>51</v>
      </c>
      <c r="B37" s="132"/>
      <c r="C37" s="132"/>
      <c r="D37" s="132"/>
      <c r="E37" s="132"/>
      <c r="F37" s="132"/>
      <c r="G37" s="132"/>
      <c r="H37" s="132"/>
      <c r="I37" s="132"/>
      <c r="J37" s="133"/>
    </row>
    <row r="38" spans="1:10" x14ac:dyDescent="0.2">
      <c r="A38" s="139" t="s">
        <v>181</v>
      </c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0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</sheetData>
  <mergeCells count="86">
    <mergeCell ref="B24:C24"/>
    <mergeCell ref="A31:H31"/>
    <mergeCell ref="I31:J31"/>
    <mergeCell ref="B22:C22"/>
    <mergeCell ref="G22:H22"/>
    <mergeCell ref="I22:J22"/>
    <mergeCell ref="B23:C23"/>
    <mergeCell ref="E23:F23"/>
    <mergeCell ref="G23:H23"/>
    <mergeCell ref="I23:J23"/>
    <mergeCell ref="E22:F22"/>
    <mergeCell ref="A32:H32"/>
    <mergeCell ref="I32:J32"/>
    <mergeCell ref="I35:J35"/>
    <mergeCell ref="A37:J37"/>
    <mergeCell ref="I25:J25"/>
    <mergeCell ref="B25:C25"/>
    <mergeCell ref="A38:J43"/>
    <mergeCell ref="E24:F24"/>
    <mergeCell ref="G24:H24"/>
    <mergeCell ref="I24:J24"/>
    <mergeCell ref="I29:J29"/>
    <mergeCell ref="A30:H30"/>
    <mergeCell ref="I30:J30"/>
    <mergeCell ref="A34:H34"/>
    <mergeCell ref="I34:J34"/>
    <mergeCell ref="I26:J26"/>
    <mergeCell ref="I28:J28"/>
    <mergeCell ref="A29:H29"/>
    <mergeCell ref="A33:H33"/>
    <mergeCell ref="I33:J33"/>
    <mergeCell ref="E25:F25"/>
    <mergeCell ref="G25:H25"/>
    <mergeCell ref="B18:C18"/>
    <mergeCell ref="E18:F18"/>
    <mergeCell ref="G18:H18"/>
    <mergeCell ref="I18:J18"/>
    <mergeCell ref="B21:C21"/>
    <mergeCell ref="E21:F21"/>
    <mergeCell ref="G21:H21"/>
    <mergeCell ref="I21:J21"/>
    <mergeCell ref="B20:C20"/>
    <mergeCell ref="B19:C19"/>
    <mergeCell ref="E19:F19"/>
    <mergeCell ref="G19:H19"/>
    <mergeCell ref="I19:J19"/>
    <mergeCell ref="E20:F20"/>
    <mergeCell ref="I20:J20"/>
    <mergeCell ref="G20:H20"/>
    <mergeCell ref="A15:J15"/>
    <mergeCell ref="A16:A17"/>
    <mergeCell ref="B16:C17"/>
    <mergeCell ref="D16:D17"/>
    <mergeCell ref="E16:F17"/>
    <mergeCell ref="G16:H17"/>
    <mergeCell ref="I16:J17"/>
    <mergeCell ref="G9:H9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9:C9"/>
    <mergeCell ref="D9:E9"/>
    <mergeCell ref="A3:J3"/>
    <mergeCell ref="A4:A5"/>
    <mergeCell ref="B4:E4"/>
    <mergeCell ref="F4:F5"/>
    <mergeCell ref="G4:H5"/>
    <mergeCell ref="B5:C5"/>
    <mergeCell ref="D5:E5"/>
    <mergeCell ref="I4:I5"/>
    <mergeCell ref="J4:J5"/>
    <mergeCell ref="B6:C6"/>
    <mergeCell ref="D6:E6"/>
    <mergeCell ref="G6:H6"/>
    <mergeCell ref="B8:C8"/>
    <mergeCell ref="D8:E8"/>
    <mergeCell ref="G8:H8"/>
    <mergeCell ref="B7:C7"/>
    <mergeCell ref="D7:E7"/>
    <mergeCell ref="G7:H7"/>
  </mergeCells>
  <phoneticPr fontId="6" type="noConversion"/>
  <pageMargins left="0.75" right="0.75" top="1" bottom="1" header="0.5" footer="0.5"/>
  <pageSetup scale="91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J29"/>
  <sheetViews>
    <sheetView workbookViewId="0">
      <selection activeCell="J34" sqref="J34"/>
    </sheetView>
  </sheetViews>
  <sheetFormatPr defaultRowHeight="12.75" x14ac:dyDescent="0.2"/>
  <cols>
    <col min="9" max="9" width="11.7109375" bestFit="1" customWidth="1"/>
    <col min="10" max="10" width="11.42578125" bestFit="1" customWidth="1"/>
  </cols>
  <sheetData>
    <row r="2" spans="1:10" ht="15" x14ac:dyDescent="0.2">
      <c r="A2" s="1" t="s">
        <v>992</v>
      </c>
      <c r="B2" s="6"/>
      <c r="C2" s="6"/>
      <c r="D2" s="6"/>
      <c r="E2" s="6"/>
      <c r="F2" s="6"/>
      <c r="G2" s="6"/>
      <c r="H2" s="6"/>
      <c r="I2" s="6"/>
      <c r="J2" s="59" t="s">
        <v>341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71" t="s">
        <v>27</v>
      </c>
      <c r="J4" s="234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74"/>
      <c r="J5" s="176"/>
    </row>
    <row r="6" spans="1:10" x14ac:dyDescent="0.2">
      <c r="A6" s="9"/>
      <c r="B6" s="128"/>
      <c r="C6" s="128"/>
      <c r="D6" s="128"/>
      <c r="E6" s="128"/>
      <c r="F6" s="12"/>
      <c r="G6" s="169"/>
      <c r="H6" s="169"/>
      <c r="I6" s="20"/>
      <c r="J6" s="21"/>
    </row>
    <row r="7" spans="1:10" x14ac:dyDescent="0.2">
      <c r="A7" s="9"/>
      <c r="B7" s="128"/>
      <c r="C7" s="128"/>
      <c r="D7" s="128"/>
      <c r="E7" s="128"/>
      <c r="F7" s="12"/>
      <c r="G7" s="169"/>
      <c r="H7" s="169"/>
      <c r="I7" s="20"/>
      <c r="J7" s="21"/>
    </row>
    <row r="8" spans="1:10" x14ac:dyDescent="0.2">
      <c r="A8" s="9"/>
      <c r="B8" s="128"/>
      <c r="C8" s="128"/>
      <c r="D8" s="128"/>
      <c r="E8" s="128"/>
      <c r="F8" s="12"/>
      <c r="G8" s="169"/>
      <c r="H8" s="169"/>
      <c r="I8" s="20"/>
      <c r="J8" s="21"/>
    </row>
    <row r="9" spans="1:10" x14ac:dyDescent="0.2">
      <c r="A9" s="9"/>
      <c r="B9" s="128"/>
      <c r="C9" s="128"/>
      <c r="D9" s="128"/>
      <c r="E9" s="128"/>
      <c r="F9" s="12"/>
      <c r="G9" s="169"/>
      <c r="H9" s="169"/>
      <c r="I9" s="20"/>
      <c r="J9" s="21"/>
    </row>
    <row r="10" spans="1:10" x14ac:dyDescent="0.2">
      <c r="A10" s="9"/>
      <c r="B10" s="128"/>
      <c r="C10" s="128"/>
      <c r="D10" s="128"/>
      <c r="E10" s="128"/>
      <c r="F10" s="12"/>
      <c r="G10" s="169"/>
      <c r="H10" s="169"/>
      <c r="I10" s="20"/>
      <c r="J10" s="21"/>
    </row>
    <row r="11" spans="1:10" x14ac:dyDescent="0.2">
      <c r="A11" s="9"/>
      <c r="B11" s="128"/>
      <c r="C11" s="128"/>
      <c r="D11" s="128"/>
      <c r="E11" s="128"/>
      <c r="F11" s="12"/>
      <c r="G11" s="169"/>
      <c r="H11" s="169"/>
      <c r="I11" s="20"/>
      <c r="J11" s="21"/>
    </row>
    <row r="12" spans="1:10" x14ac:dyDescent="0.2">
      <c r="A12" s="9"/>
      <c r="B12" s="128"/>
      <c r="C12" s="128"/>
      <c r="D12" s="128"/>
      <c r="E12" s="128"/>
      <c r="F12" s="12"/>
      <c r="G12" s="169"/>
      <c r="H12" s="169"/>
      <c r="I12" s="20"/>
      <c r="J12" s="21"/>
    </row>
    <row r="13" spans="1:10" ht="13.5" thickBot="1" x14ac:dyDescent="0.25">
      <c r="A13" s="9"/>
      <c r="B13" s="128"/>
      <c r="C13" s="128"/>
      <c r="D13" s="128"/>
      <c r="E13" s="128"/>
      <c r="F13" s="12"/>
      <c r="G13" s="169"/>
      <c r="H13" s="169"/>
      <c r="I13" s="22"/>
      <c r="J13" s="23"/>
    </row>
    <row r="14" spans="1:10" ht="13.5" thickTop="1" x14ac:dyDescent="0.2">
      <c r="A14" s="13"/>
      <c r="B14" s="13"/>
      <c r="C14" s="13"/>
      <c r="D14" s="13"/>
      <c r="E14" s="13"/>
      <c r="F14" s="13"/>
      <c r="G14" s="13"/>
      <c r="H14" s="13" t="s">
        <v>33</v>
      </c>
      <c r="I14" s="24">
        <f>SUM(I6:I13)</f>
        <v>0</v>
      </c>
      <c r="J14" s="24">
        <f>SUM(J6:J13)</f>
        <v>0</v>
      </c>
    </row>
    <row r="17" spans="1:10" ht="15" x14ac:dyDescent="0.2">
      <c r="A17" s="1" t="s">
        <v>993</v>
      </c>
      <c r="B17" s="6"/>
      <c r="C17" s="6"/>
      <c r="D17" s="6"/>
      <c r="E17" s="6"/>
      <c r="F17" s="6"/>
      <c r="G17" s="6"/>
      <c r="H17" s="6"/>
      <c r="I17" s="6"/>
      <c r="J17" s="59" t="s">
        <v>130</v>
      </c>
    </row>
    <row r="18" spans="1:10" ht="15" x14ac:dyDescent="0.25">
      <c r="A18" s="131" t="s">
        <v>22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ht="12.75" customHeight="1" x14ac:dyDescent="0.2">
      <c r="A19" s="169" t="s">
        <v>23</v>
      </c>
      <c r="B19" s="128" t="s">
        <v>24</v>
      </c>
      <c r="C19" s="128"/>
      <c r="D19" s="128"/>
      <c r="E19" s="128"/>
      <c r="F19" s="171" t="s">
        <v>25</v>
      </c>
      <c r="G19" s="169" t="s">
        <v>26</v>
      </c>
      <c r="H19" s="169"/>
      <c r="I19" s="171" t="s">
        <v>27</v>
      </c>
      <c r="J19" s="234">
        <v>0.8</v>
      </c>
    </row>
    <row r="20" spans="1:10" x14ac:dyDescent="0.2">
      <c r="A20" s="169"/>
      <c r="B20" s="128" t="s">
        <v>28</v>
      </c>
      <c r="C20" s="128"/>
      <c r="D20" s="128" t="s">
        <v>54</v>
      </c>
      <c r="E20" s="128"/>
      <c r="F20" s="174"/>
      <c r="G20" s="169"/>
      <c r="H20" s="169"/>
      <c r="I20" s="174"/>
      <c r="J20" s="176"/>
    </row>
    <row r="21" spans="1:10" x14ac:dyDescent="0.2">
      <c r="A21" s="9">
        <v>1</v>
      </c>
      <c r="B21" s="225" t="s">
        <v>994</v>
      </c>
      <c r="C21" s="128"/>
      <c r="D21" s="137" t="s">
        <v>814</v>
      </c>
      <c r="E21" s="128"/>
      <c r="F21" s="12">
        <v>40942</v>
      </c>
      <c r="G21" s="169"/>
      <c r="H21" s="169"/>
      <c r="I21" s="39">
        <v>230902.1</v>
      </c>
      <c r="J21" s="40">
        <f>I21*0.8</f>
        <v>184721.68000000002</v>
      </c>
    </row>
    <row r="22" spans="1:10" x14ac:dyDescent="0.2">
      <c r="A22" s="9"/>
      <c r="B22" s="128"/>
      <c r="C22" s="128"/>
      <c r="D22" s="128"/>
      <c r="E22" s="128"/>
      <c r="F22" s="12"/>
      <c r="G22" s="169"/>
      <c r="H22" s="169"/>
      <c r="I22" s="39"/>
      <c r="J22" s="40"/>
    </row>
    <row r="23" spans="1:10" x14ac:dyDescent="0.2">
      <c r="A23" s="9"/>
      <c r="B23" s="128"/>
      <c r="C23" s="128"/>
      <c r="D23" s="128"/>
      <c r="E23" s="128"/>
      <c r="F23" s="12"/>
      <c r="G23" s="169"/>
      <c r="H23" s="169"/>
      <c r="I23" s="39"/>
      <c r="J23" s="40"/>
    </row>
    <row r="24" spans="1:10" x14ac:dyDescent="0.2">
      <c r="A24" s="9"/>
      <c r="B24" s="128"/>
      <c r="C24" s="128"/>
      <c r="D24" s="128"/>
      <c r="E24" s="128"/>
      <c r="F24" s="12"/>
      <c r="G24" s="169"/>
      <c r="H24" s="169"/>
      <c r="I24" s="39"/>
      <c r="J24" s="40"/>
    </row>
    <row r="25" spans="1:10" x14ac:dyDescent="0.2">
      <c r="A25" s="9"/>
      <c r="B25" s="128"/>
      <c r="C25" s="128"/>
      <c r="D25" s="128"/>
      <c r="E25" s="128"/>
      <c r="F25" s="12"/>
      <c r="G25" s="169"/>
      <c r="H25" s="169"/>
      <c r="I25" s="39"/>
      <c r="J25" s="40"/>
    </row>
    <row r="26" spans="1:10" x14ac:dyDescent="0.2">
      <c r="A26" s="9"/>
      <c r="B26" s="128"/>
      <c r="C26" s="128"/>
      <c r="D26" s="128"/>
      <c r="E26" s="128"/>
      <c r="F26" s="12"/>
      <c r="G26" s="169"/>
      <c r="H26" s="169"/>
      <c r="I26" s="39"/>
      <c r="J26" s="40"/>
    </row>
    <row r="27" spans="1:10" x14ac:dyDescent="0.2">
      <c r="A27" s="9"/>
      <c r="B27" s="128"/>
      <c r="C27" s="128"/>
      <c r="D27" s="128"/>
      <c r="E27" s="128"/>
      <c r="F27" s="12"/>
      <c r="G27" s="169"/>
      <c r="H27" s="169"/>
      <c r="I27" s="39"/>
      <c r="J27" s="40"/>
    </row>
    <row r="28" spans="1:10" ht="13.5" thickBot="1" x14ac:dyDescent="0.25">
      <c r="A28" s="9"/>
      <c r="B28" s="128"/>
      <c r="C28" s="128"/>
      <c r="D28" s="128"/>
      <c r="E28" s="128"/>
      <c r="F28" s="12"/>
      <c r="G28" s="169"/>
      <c r="H28" s="169"/>
      <c r="I28" s="41"/>
      <c r="J28" s="42"/>
    </row>
    <row r="29" spans="1:10" ht="13.5" thickTop="1" x14ac:dyDescent="0.2">
      <c r="A29" s="13"/>
      <c r="B29" s="13"/>
      <c r="C29" s="13"/>
      <c r="D29" s="13"/>
      <c r="E29" s="13"/>
      <c r="F29" s="13"/>
      <c r="G29" s="13"/>
      <c r="H29" s="13" t="s">
        <v>33</v>
      </c>
      <c r="I29" s="43">
        <f>SUM(I21:I28)</f>
        <v>230902.1</v>
      </c>
      <c r="J29" s="43">
        <f>SUM(J21:J28)</f>
        <v>184721.68000000002</v>
      </c>
    </row>
  </sheetData>
  <mergeCells count="66">
    <mergeCell ref="G8:H8"/>
    <mergeCell ref="G6:H6"/>
    <mergeCell ref="B7:C7"/>
    <mergeCell ref="I4:I5"/>
    <mergeCell ref="J4:J5"/>
    <mergeCell ref="B5:C5"/>
    <mergeCell ref="D5:E5"/>
    <mergeCell ref="G7:H7"/>
    <mergeCell ref="B10:C10"/>
    <mergeCell ref="D10:E10"/>
    <mergeCell ref="G10:H10"/>
    <mergeCell ref="A3:J3"/>
    <mergeCell ref="A4:A5"/>
    <mergeCell ref="B4:E4"/>
    <mergeCell ref="F4:F5"/>
    <mergeCell ref="G4:H5"/>
    <mergeCell ref="B6:C6"/>
    <mergeCell ref="D6:E6"/>
    <mergeCell ref="D7:E7"/>
    <mergeCell ref="B9:C9"/>
    <mergeCell ref="D9:E9"/>
    <mergeCell ref="G9:H9"/>
    <mergeCell ref="B8:C8"/>
    <mergeCell ref="D8:E8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A18:J18"/>
    <mergeCell ref="A19:A20"/>
    <mergeCell ref="B19:E19"/>
    <mergeCell ref="F19:F20"/>
    <mergeCell ref="G19:H20"/>
    <mergeCell ref="I19:I20"/>
    <mergeCell ref="J19:J20"/>
    <mergeCell ref="B20:C20"/>
    <mergeCell ref="D20:E20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B25:C25"/>
    <mergeCell ref="D25:E25"/>
    <mergeCell ref="G25:H25"/>
    <mergeCell ref="B26:C26"/>
    <mergeCell ref="D26:E26"/>
    <mergeCell ref="G26:H26"/>
    <mergeCell ref="B27:C27"/>
    <mergeCell ref="D27:E27"/>
    <mergeCell ref="G27:H27"/>
    <mergeCell ref="B28:C28"/>
    <mergeCell ref="D28:E28"/>
    <mergeCell ref="G28:H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J62"/>
  <sheetViews>
    <sheetView topLeftCell="A34" workbookViewId="0">
      <selection activeCell="I44" sqref="I44:J44"/>
    </sheetView>
  </sheetViews>
  <sheetFormatPr defaultRowHeight="12.75" x14ac:dyDescent="0.2"/>
  <cols>
    <col min="6" max="6" width="12.42578125" customWidth="1"/>
    <col min="9" max="9" width="12.7109375" bestFit="1" customWidth="1"/>
    <col min="10" max="10" width="12.85546875" bestFit="1" customWidth="1"/>
  </cols>
  <sheetData>
    <row r="1" spans="1:10" ht="15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3">
        <f ca="1">TODAY()</f>
        <v>45264</v>
      </c>
    </row>
    <row r="2" spans="1:10" ht="15" x14ac:dyDescent="0.2">
      <c r="A2" s="5" t="s">
        <v>184</v>
      </c>
      <c r="B2" s="6"/>
      <c r="C2" s="6"/>
      <c r="D2" s="6"/>
      <c r="E2" s="6"/>
      <c r="F2" s="6"/>
      <c r="G2" s="6"/>
      <c r="H2" s="6"/>
      <c r="I2" s="6"/>
      <c r="J2" s="7" t="s">
        <v>185</v>
      </c>
    </row>
    <row r="3" spans="1:10" ht="15" x14ac:dyDescent="0.25">
      <c r="A3" s="131" t="s">
        <v>22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2.75" customHeight="1" x14ac:dyDescent="0.2">
      <c r="A4" s="169" t="s">
        <v>23</v>
      </c>
      <c r="B4" s="128" t="s">
        <v>24</v>
      </c>
      <c r="C4" s="128"/>
      <c r="D4" s="128"/>
      <c r="E4" s="128"/>
      <c r="F4" s="171" t="s">
        <v>25</v>
      </c>
      <c r="G4" s="169" t="s">
        <v>26</v>
      </c>
      <c r="H4" s="169"/>
      <c r="I4" s="169" t="s">
        <v>27</v>
      </c>
      <c r="J4" s="177">
        <v>0.8</v>
      </c>
    </row>
    <row r="5" spans="1:10" x14ac:dyDescent="0.2">
      <c r="A5" s="169"/>
      <c r="B5" s="128" t="s">
        <v>28</v>
      </c>
      <c r="C5" s="128"/>
      <c r="D5" s="128" t="s">
        <v>54</v>
      </c>
      <c r="E5" s="128"/>
      <c r="F5" s="174"/>
      <c r="G5" s="169"/>
      <c r="H5" s="169"/>
      <c r="I5" s="169"/>
      <c r="J5" s="169"/>
    </row>
    <row r="6" spans="1:10" x14ac:dyDescent="0.2">
      <c r="A6" s="9">
        <v>1</v>
      </c>
      <c r="B6" s="183" t="s">
        <v>186</v>
      </c>
      <c r="C6" s="128"/>
      <c r="D6" s="183" t="s">
        <v>187</v>
      </c>
      <c r="E6" s="128"/>
      <c r="F6" s="12">
        <v>35038</v>
      </c>
      <c r="G6" s="169" t="s">
        <v>188</v>
      </c>
      <c r="H6" s="169"/>
      <c r="I6" s="32">
        <v>86697.76</v>
      </c>
      <c r="J6" s="32">
        <f>I6*0.8</f>
        <v>69358.207999999999</v>
      </c>
    </row>
    <row r="7" spans="1:10" x14ac:dyDescent="0.2">
      <c r="A7" s="9">
        <v>2</v>
      </c>
      <c r="B7" s="183" t="s">
        <v>189</v>
      </c>
      <c r="C7" s="128"/>
      <c r="D7" s="183" t="s">
        <v>190</v>
      </c>
      <c r="E7" s="128"/>
      <c r="F7" s="12">
        <v>36019</v>
      </c>
      <c r="G7" s="169" t="s">
        <v>191</v>
      </c>
      <c r="H7" s="169"/>
      <c r="I7" s="32">
        <v>155969.64000000001</v>
      </c>
      <c r="J7" s="32">
        <f t="shared" ref="J7:J15" si="0">I7*0.8</f>
        <v>124775.71200000001</v>
      </c>
    </row>
    <row r="8" spans="1:10" x14ac:dyDescent="0.2">
      <c r="A8" s="9">
        <v>3</v>
      </c>
      <c r="B8" s="183" t="s">
        <v>192</v>
      </c>
      <c r="C8" s="128"/>
      <c r="D8" s="183" t="s">
        <v>193</v>
      </c>
      <c r="E8" s="128"/>
      <c r="F8" s="12">
        <v>36019</v>
      </c>
      <c r="G8" s="169" t="s">
        <v>194</v>
      </c>
      <c r="H8" s="169"/>
      <c r="I8" s="32">
        <v>486642.28</v>
      </c>
      <c r="J8" s="32">
        <f t="shared" si="0"/>
        <v>389313.82400000002</v>
      </c>
    </row>
    <row r="9" spans="1:10" x14ac:dyDescent="0.2">
      <c r="A9" s="9">
        <v>4</v>
      </c>
      <c r="B9" s="183" t="s">
        <v>195</v>
      </c>
      <c r="C9" s="128"/>
      <c r="D9" s="183" t="s">
        <v>196</v>
      </c>
      <c r="E9" s="128"/>
      <c r="F9" s="12">
        <v>36019</v>
      </c>
      <c r="G9" s="169" t="s">
        <v>197</v>
      </c>
      <c r="H9" s="169"/>
      <c r="I9" s="32">
        <v>160553.98000000001</v>
      </c>
      <c r="J9" s="32">
        <f t="shared" si="0"/>
        <v>128443.18400000001</v>
      </c>
    </row>
    <row r="10" spans="1:10" x14ac:dyDescent="0.2">
      <c r="A10" s="9">
        <v>5</v>
      </c>
      <c r="B10" s="183" t="s">
        <v>198</v>
      </c>
      <c r="C10" s="128"/>
      <c r="D10" s="183" t="s">
        <v>199</v>
      </c>
      <c r="E10" s="128"/>
      <c r="F10" s="12">
        <v>35038</v>
      </c>
      <c r="G10" s="169" t="s">
        <v>200</v>
      </c>
      <c r="H10" s="169"/>
      <c r="I10" s="32">
        <v>147725</v>
      </c>
      <c r="J10" s="32">
        <f t="shared" si="0"/>
        <v>118180</v>
      </c>
    </row>
    <row r="11" spans="1:10" x14ac:dyDescent="0.2">
      <c r="A11" s="9">
        <v>6</v>
      </c>
      <c r="B11" s="183" t="s">
        <v>201</v>
      </c>
      <c r="C11" s="128"/>
      <c r="D11" s="183" t="s">
        <v>202</v>
      </c>
      <c r="E11" s="128"/>
      <c r="F11" s="12">
        <v>36019</v>
      </c>
      <c r="G11" s="169" t="s">
        <v>203</v>
      </c>
      <c r="H11" s="169"/>
      <c r="I11" s="32">
        <v>70172.3</v>
      </c>
      <c r="J11" s="32">
        <f t="shared" si="0"/>
        <v>56137.840000000004</v>
      </c>
    </row>
    <row r="12" spans="1:10" x14ac:dyDescent="0.2">
      <c r="A12" s="9">
        <v>7</v>
      </c>
      <c r="B12" s="183" t="s">
        <v>204</v>
      </c>
      <c r="C12" s="128"/>
      <c r="D12" s="183" t="s">
        <v>205</v>
      </c>
      <c r="E12" s="128"/>
      <c r="F12" s="12">
        <v>36019</v>
      </c>
      <c r="G12" s="169" t="s">
        <v>206</v>
      </c>
      <c r="H12" s="169"/>
      <c r="I12" s="32">
        <v>115841.26</v>
      </c>
      <c r="J12" s="32">
        <f t="shared" si="0"/>
        <v>92673.008000000002</v>
      </c>
    </row>
    <row r="13" spans="1:10" x14ac:dyDescent="0.2">
      <c r="A13" s="9">
        <v>8</v>
      </c>
      <c r="B13" s="183" t="s">
        <v>207</v>
      </c>
      <c r="C13" s="128"/>
      <c r="D13" s="183" t="s">
        <v>208</v>
      </c>
      <c r="E13" s="128"/>
      <c r="F13" s="12">
        <v>36019</v>
      </c>
      <c r="G13" s="169" t="s">
        <v>209</v>
      </c>
      <c r="H13" s="169"/>
      <c r="I13" s="32">
        <v>373693.57</v>
      </c>
      <c r="J13" s="32">
        <f t="shared" si="0"/>
        <v>298954.85600000003</v>
      </c>
    </row>
    <row r="14" spans="1:10" x14ac:dyDescent="0.2">
      <c r="A14" s="9">
        <v>9</v>
      </c>
      <c r="B14" s="183" t="s">
        <v>210</v>
      </c>
      <c r="C14" s="128"/>
      <c r="D14" s="183" t="s">
        <v>211</v>
      </c>
      <c r="E14" s="128"/>
      <c r="F14" s="12">
        <v>36019</v>
      </c>
      <c r="G14" s="169" t="s">
        <v>212</v>
      </c>
      <c r="H14" s="169"/>
      <c r="I14" s="32">
        <v>236460.88</v>
      </c>
      <c r="J14" s="32">
        <f t="shared" si="0"/>
        <v>189168.70400000003</v>
      </c>
    </row>
    <row r="15" spans="1:10" x14ac:dyDescent="0.2">
      <c r="A15" s="9">
        <v>10</v>
      </c>
      <c r="B15" s="183" t="s">
        <v>899</v>
      </c>
      <c r="C15" s="128"/>
      <c r="D15" s="128" t="s">
        <v>900</v>
      </c>
      <c r="E15" s="128"/>
      <c r="F15" s="12">
        <v>40421</v>
      </c>
      <c r="G15" s="169"/>
      <c r="H15" s="169"/>
      <c r="I15" s="32">
        <v>349363.26</v>
      </c>
      <c r="J15" s="32">
        <f t="shared" si="0"/>
        <v>279490.60800000001</v>
      </c>
    </row>
    <row r="16" spans="1:10" x14ac:dyDescent="0.2">
      <c r="A16" s="9">
        <v>11</v>
      </c>
      <c r="B16" s="229" t="s">
        <v>989</v>
      </c>
      <c r="C16" s="128"/>
      <c r="D16" s="229" t="s">
        <v>990</v>
      </c>
      <c r="E16" s="128"/>
      <c r="F16" s="12">
        <v>40942</v>
      </c>
      <c r="G16" s="169"/>
      <c r="H16" s="169"/>
      <c r="I16" s="32">
        <v>935841.18</v>
      </c>
      <c r="J16" s="32">
        <f>I16*0.8</f>
        <v>748672.94400000013</v>
      </c>
    </row>
    <row r="17" spans="1:10" x14ac:dyDescent="0.2">
      <c r="A17" s="9">
        <v>12</v>
      </c>
      <c r="B17" s="225" t="s">
        <v>1128</v>
      </c>
      <c r="C17" s="128"/>
      <c r="D17" s="225" t="s">
        <v>1129</v>
      </c>
      <c r="E17" s="128"/>
      <c r="F17" s="12">
        <v>41869</v>
      </c>
      <c r="G17" s="169"/>
      <c r="H17" s="169"/>
      <c r="I17" s="32">
        <v>396768.6</v>
      </c>
      <c r="J17" s="32">
        <f>I17*0.8</f>
        <v>317414.88</v>
      </c>
    </row>
    <row r="18" spans="1:10" x14ac:dyDescent="0.2">
      <c r="A18" s="9">
        <v>13</v>
      </c>
      <c r="B18" s="225" t="s">
        <v>1185</v>
      </c>
      <c r="C18" s="128"/>
      <c r="D18" s="225" t="s">
        <v>1186</v>
      </c>
      <c r="E18" s="128"/>
      <c r="F18" s="12">
        <v>42424</v>
      </c>
      <c r="G18" s="169"/>
      <c r="H18" s="169"/>
      <c r="I18" s="32">
        <v>2082165.2</v>
      </c>
      <c r="J18" s="32">
        <f>I18*0.8</f>
        <v>1665732.1600000001</v>
      </c>
    </row>
    <row r="19" spans="1:10" x14ac:dyDescent="0.2">
      <c r="A19" s="9"/>
      <c r="B19" s="128"/>
      <c r="C19" s="128"/>
      <c r="D19" s="128"/>
      <c r="E19" s="128"/>
      <c r="F19" s="12"/>
      <c r="G19" s="169"/>
      <c r="H19" s="169"/>
      <c r="I19" s="32"/>
      <c r="J19" s="32"/>
    </row>
    <row r="20" spans="1:10" x14ac:dyDescent="0.2">
      <c r="A20" s="9"/>
      <c r="B20" s="128"/>
      <c r="C20" s="128"/>
      <c r="D20" s="128"/>
      <c r="E20" s="128"/>
      <c r="F20" s="12"/>
      <c r="G20" s="169"/>
      <c r="H20" s="169"/>
      <c r="I20" s="32"/>
      <c r="J20" s="32"/>
    </row>
    <row r="21" spans="1:10" x14ac:dyDescent="0.2">
      <c r="A21" s="9"/>
      <c r="B21" s="128"/>
      <c r="C21" s="128"/>
      <c r="D21" s="128"/>
      <c r="E21" s="128"/>
      <c r="F21" s="12"/>
      <c r="G21" s="169"/>
      <c r="H21" s="169"/>
      <c r="I21" s="32"/>
      <c r="J21" s="32"/>
    </row>
    <row r="22" spans="1:10" x14ac:dyDescent="0.2">
      <c r="A22" s="13"/>
      <c r="B22" s="13"/>
      <c r="C22" s="13"/>
      <c r="D22" s="13"/>
      <c r="E22" s="13"/>
      <c r="F22" s="13"/>
      <c r="G22" s="13"/>
      <c r="H22" s="13" t="s">
        <v>33</v>
      </c>
      <c r="I22" s="33">
        <f>SUM(I6:I21)</f>
        <v>5597894.9100000001</v>
      </c>
      <c r="J22" s="33">
        <f>SUM(J6:J21)</f>
        <v>4478315.9280000003</v>
      </c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 x14ac:dyDescent="0.25">
      <c r="A24" s="131" t="s">
        <v>34</v>
      </c>
      <c r="B24" s="132"/>
      <c r="C24" s="132"/>
      <c r="D24" s="132"/>
      <c r="E24" s="132"/>
      <c r="F24" s="132"/>
      <c r="G24" s="132"/>
      <c r="H24" s="132"/>
      <c r="I24" s="132"/>
      <c r="J24" s="133"/>
    </row>
    <row r="25" spans="1:10" x14ac:dyDescent="0.2">
      <c r="A25" s="169" t="s">
        <v>23</v>
      </c>
      <c r="B25" s="169" t="s">
        <v>35</v>
      </c>
      <c r="C25" s="169"/>
      <c r="D25" s="169" t="s">
        <v>36</v>
      </c>
      <c r="E25" s="169" t="s">
        <v>37</v>
      </c>
      <c r="F25" s="169"/>
      <c r="G25" s="169" t="s">
        <v>38</v>
      </c>
      <c r="H25" s="169"/>
      <c r="I25" s="169" t="s">
        <v>39</v>
      </c>
      <c r="J25" s="169"/>
    </row>
    <row r="26" spans="1:10" x14ac:dyDescent="0.2">
      <c r="A26" s="169"/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 x14ac:dyDescent="0.2">
      <c r="A27" s="9">
        <v>1</v>
      </c>
      <c r="B27" s="183" t="s">
        <v>213</v>
      </c>
      <c r="C27" s="128"/>
      <c r="D27" s="9">
        <v>7509</v>
      </c>
      <c r="E27" s="182">
        <v>35765</v>
      </c>
      <c r="F27" s="128"/>
      <c r="G27" s="183" t="s">
        <v>214</v>
      </c>
      <c r="H27" s="128"/>
      <c r="I27" s="138">
        <v>179953</v>
      </c>
      <c r="J27" s="138"/>
    </row>
    <row r="28" spans="1:10" x14ac:dyDescent="0.2">
      <c r="A28" s="9">
        <v>2</v>
      </c>
      <c r="B28" s="183" t="s">
        <v>215</v>
      </c>
      <c r="C28" s="128"/>
      <c r="D28" s="9">
        <v>14705</v>
      </c>
      <c r="E28" s="182">
        <v>36495</v>
      </c>
      <c r="F28" s="128"/>
      <c r="G28" s="183" t="s">
        <v>216</v>
      </c>
      <c r="H28" s="128"/>
      <c r="I28" s="138">
        <v>132876</v>
      </c>
      <c r="J28" s="138"/>
    </row>
    <row r="29" spans="1:10" x14ac:dyDescent="0.2">
      <c r="A29" s="9">
        <v>3</v>
      </c>
      <c r="B29" s="183" t="s">
        <v>217</v>
      </c>
      <c r="C29" s="128"/>
      <c r="D29" s="9">
        <v>14795</v>
      </c>
      <c r="E29" s="182">
        <v>36923</v>
      </c>
      <c r="F29" s="128"/>
      <c r="G29" s="183" t="s">
        <v>218</v>
      </c>
      <c r="H29" s="128"/>
      <c r="I29" s="138">
        <v>185589</v>
      </c>
      <c r="J29" s="138"/>
    </row>
    <row r="30" spans="1:10" x14ac:dyDescent="0.2">
      <c r="A30" s="9">
        <v>4</v>
      </c>
      <c r="B30" s="183" t="s">
        <v>219</v>
      </c>
      <c r="C30" s="128"/>
      <c r="D30" s="9">
        <v>12601</v>
      </c>
      <c r="E30" s="182">
        <v>36831</v>
      </c>
      <c r="F30" s="128"/>
      <c r="G30" s="183" t="s">
        <v>220</v>
      </c>
      <c r="H30" s="128"/>
      <c r="I30" s="138">
        <v>86912</v>
      </c>
      <c r="J30" s="138"/>
    </row>
    <row r="31" spans="1:10" x14ac:dyDescent="0.2">
      <c r="A31" s="9">
        <v>5</v>
      </c>
      <c r="B31" s="183" t="s">
        <v>221</v>
      </c>
      <c r="C31" s="128"/>
      <c r="D31" s="9">
        <v>14959</v>
      </c>
      <c r="E31" s="182">
        <v>36861</v>
      </c>
      <c r="F31" s="128"/>
      <c r="G31" s="183" t="s">
        <v>222</v>
      </c>
      <c r="H31" s="128"/>
      <c r="I31" s="138">
        <v>87883</v>
      </c>
      <c r="J31" s="138"/>
    </row>
    <row r="32" spans="1:10" x14ac:dyDescent="0.2">
      <c r="A32" s="9">
        <v>6</v>
      </c>
      <c r="B32" s="183">
        <v>487204</v>
      </c>
      <c r="C32" s="128"/>
      <c r="D32" s="9">
        <v>82423</v>
      </c>
      <c r="E32" s="182">
        <v>41117</v>
      </c>
      <c r="F32" s="128"/>
      <c r="G32" s="128" t="s">
        <v>883</v>
      </c>
      <c r="H32" s="128"/>
      <c r="I32" s="138">
        <v>284384.42</v>
      </c>
      <c r="J32" s="138"/>
    </row>
    <row r="33" spans="1:10" x14ac:dyDescent="0.2">
      <c r="A33" s="9">
        <v>7</v>
      </c>
      <c r="B33" s="128">
        <v>487201</v>
      </c>
      <c r="C33" s="128"/>
      <c r="D33" s="9">
        <v>82406</v>
      </c>
      <c r="E33" s="182">
        <v>41117</v>
      </c>
      <c r="F33" s="128"/>
      <c r="G33" s="128" t="s">
        <v>882</v>
      </c>
      <c r="H33" s="128"/>
      <c r="I33" s="138">
        <v>131938.46</v>
      </c>
      <c r="J33" s="138"/>
    </row>
    <row r="34" spans="1:10" x14ac:dyDescent="0.2">
      <c r="A34" s="9">
        <v>8</v>
      </c>
      <c r="B34" s="128"/>
      <c r="C34" s="128"/>
      <c r="D34" s="9">
        <v>14114</v>
      </c>
      <c r="E34" s="182">
        <v>40982</v>
      </c>
      <c r="F34" s="128"/>
      <c r="G34" s="230" t="s">
        <v>999</v>
      </c>
      <c r="H34" s="128"/>
      <c r="I34" s="138">
        <v>257202.42</v>
      </c>
      <c r="J34" s="138"/>
    </row>
    <row r="35" spans="1:10" x14ac:dyDescent="0.2">
      <c r="A35" s="19">
        <v>8</v>
      </c>
      <c r="B35" s="137"/>
      <c r="C35" s="137"/>
      <c r="D35" s="19">
        <v>87088</v>
      </c>
      <c r="E35" s="196">
        <v>42744</v>
      </c>
      <c r="F35" s="137"/>
      <c r="G35" s="137" t="s">
        <v>224</v>
      </c>
      <c r="H35" s="137"/>
      <c r="I35" s="138">
        <v>534338.63</v>
      </c>
      <c r="J35" s="138"/>
    </row>
    <row r="36" spans="1:10" x14ac:dyDescent="0.2">
      <c r="A36" s="19"/>
      <c r="B36" s="164"/>
      <c r="C36" s="165"/>
      <c r="D36" s="19">
        <v>87270</v>
      </c>
      <c r="E36" s="164" t="s">
        <v>864</v>
      </c>
      <c r="F36" s="165"/>
      <c r="G36" s="164"/>
      <c r="H36" s="165"/>
      <c r="I36" s="166">
        <v>17721.400000000001</v>
      </c>
      <c r="J36" s="167"/>
    </row>
    <row r="37" spans="1:10" x14ac:dyDescent="0.2">
      <c r="A37" s="19"/>
      <c r="B37" s="164"/>
      <c r="C37" s="165"/>
      <c r="D37" s="19">
        <v>90189</v>
      </c>
      <c r="E37" s="164" t="s">
        <v>938</v>
      </c>
      <c r="F37" s="165"/>
      <c r="G37" s="164"/>
      <c r="H37" s="165"/>
      <c r="I37" s="166">
        <v>15071.8</v>
      </c>
      <c r="J37" s="167"/>
    </row>
    <row r="38" spans="1:10" x14ac:dyDescent="0.2">
      <c r="A38" s="19"/>
      <c r="B38" s="137"/>
      <c r="C38" s="137"/>
      <c r="D38" s="19">
        <v>94289</v>
      </c>
      <c r="E38" s="196">
        <v>42209</v>
      </c>
      <c r="F38" s="137"/>
      <c r="G38" s="137" t="s">
        <v>991</v>
      </c>
      <c r="H38" s="137"/>
      <c r="I38" s="251">
        <v>135901.70000000001</v>
      </c>
      <c r="J38" s="251"/>
    </row>
    <row r="39" spans="1:10" x14ac:dyDescent="0.2">
      <c r="A39" s="19"/>
      <c r="B39" s="137"/>
      <c r="C39" s="137"/>
      <c r="D39" s="19">
        <v>92742</v>
      </c>
      <c r="E39" s="137" t="s">
        <v>1008</v>
      </c>
      <c r="F39" s="137"/>
      <c r="G39" s="137"/>
      <c r="H39" s="137"/>
      <c r="I39" s="138">
        <v>9392</v>
      </c>
      <c r="J39" s="138"/>
    </row>
    <row r="40" spans="1:10" x14ac:dyDescent="0.2">
      <c r="A40" s="19"/>
      <c r="B40" s="137"/>
      <c r="C40" s="137"/>
      <c r="D40" s="19">
        <v>96450</v>
      </c>
      <c r="E40" s="196">
        <v>43237</v>
      </c>
      <c r="F40" s="137"/>
      <c r="G40" s="137" t="s">
        <v>1130</v>
      </c>
      <c r="H40" s="137"/>
      <c r="I40" s="250">
        <v>200493.43</v>
      </c>
      <c r="J40" s="250"/>
    </row>
    <row r="41" spans="1:10" x14ac:dyDescent="0.2">
      <c r="A41" s="19"/>
      <c r="B41" s="137"/>
      <c r="C41" s="137"/>
      <c r="D41" s="19">
        <v>103317</v>
      </c>
      <c r="E41" s="196">
        <v>44288</v>
      </c>
      <c r="F41" s="137"/>
      <c r="G41" s="137" t="s">
        <v>1163</v>
      </c>
      <c r="H41" s="137"/>
      <c r="I41" s="250">
        <v>304431.83</v>
      </c>
      <c r="J41" s="250"/>
    </row>
    <row r="42" spans="1:10" x14ac:dyDescent="0.2">
      <c r="A42" s="19"/>
      <c r="B42" s="137"/>
      <c r="C42" s="137"/>
      <c r="D42" s="19">
        <v>108835</v>
      </c>
      <c r="E42" s="137"/>
      <c r="F42" s="137"/>
      <c r="G42" s="137" t="s">
        <v>1200</v>
      </c>
      <c r="H42" s="137"/>
      <c r="I42" s="250">
        <v>230768.55</v>
      </c>
      <c r="J42" s="250"/>
    </row>
    <row r="43" spans="1:10" x14ac:dyDescent="0.2">
      <c r="A43" s="9"/>
      <c r="B43" s="128"/>
      <c r="C43" s="128"/>
      <c r="D43" s="9">
        <v>112211</v>
      </c>
      <c r="E43" s="128"/>
      <c r="F43" s="128"/>
      <c r="G43" s="128" t="s">
        <v>1343</v>
      </c>
      <c r="H43" s="128"/>
      <c r="I43" s="140">
        <v>306198.75</v>
      </c>
      <c r="J43" s="140"/>
    </row>
    <row r="44" spans="1:10" x14ac:dyDescent="0.2">
      <c r="A44" s="58"/>
      <c r="B44" s="151"/>
      <c r="C44" s="151"/>
      <c r="D44" s="58"/>
      <c r="E44" s="151"/>
      <c r="F44" s="151"/>
      <c r="G44" s="151"/>
      <c r="H44" s="151"/>
      <c r="I44" s="248"/>
      <c r="J44" s="248"/>
    </row>
    <row r="45" spans="1:10" x14ac:dyDescent="0.2">
      <c r="A45" s="58"/>
      <c r="B45" s="151"/>
      <c r="C45" s="151"/>
      <c r="D45" s="58"/>
      <c r="E45" s="151"/>
      <c r="F45" s="151"/>
      <c r="G45" s="151"/>
      <c r="H45" s="151"/>
      <c r="I45" s="248"/>
      <c r="J45" s="248"/>
    </row>
    <row r="46" spans="1:10" ht="13.5" thickBot="1" x14ac:dyDescent="0.25">
      <c r="A46" s="9"/>
      <c r="B46" s="128"/>
      <c r="C46" s="128"/>
      <c r="D46" s="9"/>
      <c r="E46" s="128"/>
      <c r="F46" s="128"/>
      <c r="G46" s="128"/>
      <c r="H46" s="128"/>
      <c r="I46" s="249"/>
      <c r="J46" s="249"/>
    </row>
    <row r="47" spans="1:10" ht="13.5" thickTop="1" x14ac:dyDescent="0.2">
      <c r="A47" s="13"/>
      <c r="B47" s="13"/>
      <c r="C47" s="13"/>
      <c r="D47" s="13"/>
      <c r="E47" s="13"/>
      <c r="F47" s="13"/>
      <c r="G47" s="13"/>
      <c r="H47" s="13" t="s">
        <v>33</v>
      </c>
      <c r="I47" s="140">
        <f>SUM(I27:J46)</f>
        <v>3101056.3899999997</v>
      </c>
      <c r="J47" s="140"/>
    </row>
    <row r="48" spans="1:10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 x14ac:dyDescent="0.25">
      <c r="A49" s="15" t="s">
        <v>46</v>
      </c>
      <c r="B49" s="16"/>
      <c r="C49" s="16"/>
      <c r="D49" s="16"/>
      <c r="E49" s="16"/>
      <c r="F49" s="16"/>
      <c r="G49" s="16"/>
      <c r="H49" s="16"/>
      <c r="I49" s="149" t="s">
        <v>47</v>
      </c>
      <c r="J49" s="150"/>
    </row>
    <row r="50" spans="1:10" x14ac:dyDescent="0.2">
      <c r="A50" s="144" t="s">
        <v>48</v>
      </c>
      <c r="B50" s="144"/>
      <c r="C50" s="144"/>
      <c r="D50" s="144"/>
      <c r="E50" s="144"/>
      <c r="F50" s="144"/>
      <c r="G50" s="144"/>
      <c r="H50" s="144"/>
      <c r="I50" s="148">
        <f>I22*80%</f>
        <v>4478315.9280000003</v>
      </c>
      <c r="J50" s="148"/>
    </row>
    <row r="51" spans="1:10" x14ac:dyDescent="0.2">
      <c r="A51" s="144" t="s">
        <v>49</v>
      </c>
      <c r="B51" s="144"/>
      <c r="C51" s="144"/>
      <c r="D51" s="144"/>
      <c r="E51" s="144"/>
      <c r="F51" s="144"/>
      <c r="G51" s="144"/>
      <c r="H51" s="144"/>
      <c r="I51" s="184">
        <f>-206710+320348+45098-365446</f>
        <v>-206710</v>
      </c>
      <c r="J51" s="184"/>
    </row>
    <row r="52" spans="1:10" x14ac:dyDescent="0.2">
      <c r="A52" s="231" t="s">
        <v>1158</v>
      </c>
      <c r="B52" s="142"/>
      <c r="C52" s="142"/>
      <c r="D52" s="142"/>
      <c r="E52" s="142"/>
      <c r="F52" s="142"/>
      <c r="G52" s="142"/>
      <c r="H52" s="143"/>
      <c r="I52" s="184">
        <v>257202.42</v>
      </c>
      <c r="J52" s="147"/>
    </row>
    <row r="53" spans="1:10" ht="13.5" thickBot="1" x14ac:dyDescent="0.25">
      <c r="A53" s="144" t="s">
        <v>50</v>
      </c>
      <c r="B53" s="144"/>
      <c r="C53" s="144"/>
      <c r="D53" s="144"/>
      <c r="E53" s="144"/>
      <c r="F53" s="144"/>
      <c r="G53" s="144"/>
      <c r="H53" s="144"/>
      <c r="I53" s="145">
        <f>I47</f>
        <v>3101056.3899999997</v>
      </c>
      <c r="J53" s="145"/>
    </row>
    <row r="54" spans="1:10" ht="13.5" thickTop="1" x14ac:dyDescent="0.2">
      <c r="H54" s="18" t="s">
        <v>33</v>
      </c>
      <c r="I54" s="129">
        <f>I50+I51+I52-I53</f>
        <v>1427751.9580000006</v>
      </c>
      <c r="J54" s="130"/>
    </row>
    <row r="56" spans="1:10" ht="15" x14ac:dyDescent="0.25">
      <c r="A56" s="131" t="s">
        <v>51</v>
      </c>
      <c r="B56" s="132"/>
      <c r="C56" s="132"/>
      <c r="D56" s="132"/>
      <c r="E56" s="132"/>
      <c r="F56" s="132"/>
      <c r="G56" s="132"/>
      <c r="H56" s="132"/>
      <c r="I56" s="132"/>
      <c r="J56" s="133"/>
    </row>
    <row r="57" spans="1:10" x14ac:dyDescent="0.2">
      <c r="A57" s="139" t="s">
        <v>223</v>
      </c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</row>
    <row r="59" spans="1:10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</row>
    <row r="60" spans="1:10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</row>
    <row r="61" spans="1:10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</row>
    <row r="62" spans="1:10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</row>
  </sheetData>
  <mergeCells count="157">
    <mergeCell ref="E32:F32"/>
    <mergeCell ref="G32:H32"/>
    <mergeCell ref="I32:J32"/>
    <mergeCell ref="B29:C29"/>
    <mergeCell ref="E29:F29"/>
    <mergeCell ref="G29:H29"/>
    <mergeCell ref="I29:J29"/>
    <mergeCell ref="B30:C30"/>
    <mergeCell ref="E30:F30"/>
    <mergeCell ref="G30:H30"/>
    <mergeCell ref="I30:J30"/>
    <mergeCell ref="I38:J38"/>
    <mergeCell ref="A52:H52"/>
    <mergeCell ref="I52:J52"/>
    <mergeCell ref="B39:C39"/>
    <mergeCell ref="E39:F39"/>
    <mergeCell ref="G39:H39"/>
    <mergeCell ref="I39:J39"/>
    <mergeCell ref="A50:H50"/>
    <mergeCell ref="G43:H43"/>
    <mergeCell ref="I43:J43"/>
    <mergeCell ref="B45:C45"/>
    <mergeCell ref="E45:F45"/>
    <mergeCell ref="G45:H45"/>
    <mergeCell ref="I45:J45"/>
    <mergeCell ref="B41:C41"/>
    <mergeCell ref="E41:F41"/>
    <mergeCell ref="G41:H41"/>
    <mergeCell ref="I41:J41"/>
    <mergeCell ref="B42:C42"/>
    <mergeCell ref="E42:F42"/>
    <mergeCell ref="G42:H42"/>
    <mergeCell ref="I42:J42"/>
    <mergeCell ref="B44:C44"/>
    <mergeCell ref="E44:F44"/>
    <mergeCell ref="I54:J54"/>
    <mergeCell ref="A56:J56"/>
    <mergeCell ref="I50:J50"/>
    <mergeCell ref="B46:C46"/>
    <mergeCell ref="E46:F46"/>
    <mergeCell ref="G46:H46"/>
    <mergeCell ref="I46:J46"/>
    <mergeCell ref="E40:F40"/>
    <mergeCell ref="G34:H34"/>
    <mergeCell ref="G36:H36"/>
    <mergeCell ref="I36:J36"/>
    <mergeCell ref="I37:J37"/>
    <mergeCell ref="B37:C37"/>
    <mergeCell ref="E37:F37"/>
    <mergeCell ref="G37:H37"/>
    <mergeCell ref="B36:C36"/>
    <mergeCell ref="I34:J34"/>
    <mergeCell ref="B40:C40"/>
    <mergeCell ref="G40:H40"/>
    <mergeCell ref="I40:J40"/>
    <mergeCell ref="B38:C38"/>
    <mergeCell ref="E38:F38"/>
    <mergeCell ref="G38:H38"/>
    <mergeCell ref="E36:F36"/>
    <mergeCell ref="A57:J62"/>
    <mergeCell ref="I4:I5"/>
    <mergeCell ref="J4:J5"/>
    <mergeCell ref="A51:H51"/>
    <mergeCell ref="I51:J51"/>
    <mergeCell ref="A53:H53"/>
    <mergeCell ref="I53:J53"/>
    <mergeCell ref="I47:J47"/>
    <mergeCell ref="I49:J49"/>
    <mergeCell ref="B34:C34"/>
    <mergeCell ref="B33:C33"/>
    <mergeCell ref="E33:F33"/>
    <mergeCell ref="G33:H33"/>
    <mergeCell ref="I33:J33"/>
    <mergeCell ref="B35:C35"/>
    <mergeCell ref="E35:F35"/>
    <mergeCell ref="G35:H35"/>
    <mergeCell ref="I35:J35"/>
    <mergeCell ref="E34:F34"/>
    <mergeCell ref="B31:C31"/>
    <mergeCell ref="E31:F31"/>
    <mergeCell ref="G31:H31"/>
    <mergeCell ref="I31:J31"/>
    <mergeCell ref="B32:C32"/>
    <mergeCell ref="I27:J27"/>
    <mergeCell ref="B28:C28"/>
    <mergeCell ref="E28:F28"/>
    <mergeCell ref="G28:H28"/>
    <mergeCell ref="I28:J28"/>
    <mergeCell ref="A25:A26"/>
    <mergeCell ref="B25:C26"/>
    <mergeCell ref="D25:D26"/>
    <mergeCell ref="E25:F26"/>
    <mergeCell ref="G25:H26"/>
    <mergeCell ref="I25:J26"/>
    <mergeCell ref="B21:C21"/>
    <mergeCell ref="D21:E21"/>
    <mergeCell ref="B17:C17"/>
    <mergeCell ref="D17:E17"/>
    <mergeCell ref="G17:H17"/>
    <mergeCell ref="B20:C20"/>
    <mergeCell ref="D20:E20"/>
    <mergeCell ref="D19:E19"/>
    <mergeCell ref="B27:C27"/>
    <mergeCell ref="E27:F27"/>
    <mergeCell ref="G27:H27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6:C6"/>
    <mergeCell ref="D6:E6"/>
    <mergeCell ref="G6:H6"/>
    <mergeCell ref="A3:J3"/>
    <mergeCell ref="A4:A5"/>
    <mergeCell ref="B4:E4"/>
    <mergeCell ref="F4:F5"/>
    <mergeCell ref="G4:H5"/>
    <mergeCell ref="B5:C5"/>
    <mergeCell ref="D5:E5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G44:H44"/>
    <mergeCell ref="I44:J44"/>
    <mergeCell ref="B43:C43"/>
    <mergeCell ref="E43:F43"/>
    <mergeCell ref="B10:C10"/>
    <mergeCell ref="D10:E10"/>
    <mergeCell ref="G10:H10"/>
    <mergeCell ref="D13:E13"/>
    <mergeCell ref="G13:H13"/>
    <mergeCell ref="B12:C12"/>
    <mergeCell ref="D12:E12"/>
    <mergeCell ref="G12:H12"/>
    <mergeCell ref="B11:C11"/>
    <mergeCell ref="D11:E11"/>
    <mergeCell ref="G11:H11"/>
    <mergeCell ref="A24:J24"/>
    <mergeCell ref="G19:H19"/>
    <mergeCell ref="B13:C13"/>
    <mergeCell ref="G20:H20"/>
    <mergeCell ref="B18:C18"/>
    <mergeCell ref="D18:E18"/>
    <mergeCell ref="G18:H18"/>
    <mergeCell ref="B19:C19"/>
    <mergeCell ref="G21:H21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Adams</vt:lpstr>
      <vt:lpstr>Allen</vt:lpstr>
      <vt:lpstr>Ashland</vt:lpstr>
      <vt:lpstr>Ashtabula</vt:lpstr>
      <vt:lpstr>Athens</vt:lpstr>
      <vt:lpstr>Auglaize</vt:lpstr>
      <vt:lpstr>Belmont</vt:lpstr>
      <vt:lpstr>Brown</vt:lpstr>
      <vt:lpstr>Butler</vt:lpstr>
      <vt:lpstr>Champaign</vt:lpstr>
      <vt:lpstr>Clark</vt:lpstr>
      <vt:lpstr>Clermont</vt:lpstr>
      <vt:lpstr>Clinton</vt:lpstr>
      <vt:lpstr>Columbiana</vt:lpstr>
      <vt:lpstr>Coshocton</vt:lpstr>
      <vt:lpstr>Crawford</vt:lpstr>
      <vt:lpstr>Darke</vt:lpstr>
      <vt:lpstr>Defiance</vt:lpstr>
      <vt:lpstr>Delaware</vt:lpstr>
      <vt:lpstr>Erie</vt:lpstr>
      <vt:lpstr>Fairfield</vt:lpstr>
      <vt:lpstr>Fayette</vt:lpstr>
      <vt:lpstr>Franklin</vt:lpstr>
      <vt:lpstr>Fulton</vt:lpstr>
      <vt:lpstr>Gallia</vt:lpstr>
      <vt:lpstr>Geauga</vt:lpstr>
      <vt:lpstr>Greene</vt:lpstr>
      <vt:lpstr>Hancock</vt:lpstr>
      <vt:lpstr>Harrison</vt:lpstr>
      <vt:lpstr>Henry</vt:lpstr>
      <vt:lpstr>Highland</vt:lpstr>
      <vt:lpstr>Holmes</vt:lpstr>
      <vt:lpstr>Huron</vt:lpstr>
      <vt:lpstr>Jackson</vt:lpstr>
      <vt:lpstr>Jefferson</vt:lpstr>
      <vt:lpstr>Knox</vt:lpstr>
      <vt:lpstr>Lake</vt:lpstr>
      <vt:lpstr>Lawrence</vt:lpstr>
      <vt:lpstr>Licking</vt:lpstr>
      <vt:lpstr>Logan</vt:lpstr>
      <vt:lpstr>Lorain</vt:lpstr>
      <vt:lpstr>Lucas</vt:lpstr>
      <vt:lpstr>Madison</vt:lpstr>
      <vt:lpstr>Marion</vt:lpstr>
      <vt:lpstr>Medina</vt:lpstr>
      <vt:lpstr>Meigs</vt:lpstr>
      <vt:lpstr>Mercer</vt:lpstr>
      <vt:lpstr>Miami</vt:lpstr>
      <vt:lpstr>Monroe</vt:lpstr>
      <vt:lpstr>Montgomery</vt:lpstr>
      <vt:lpstr>Morgan</vt:lpstr>
      <vt:lpstr>Morrow</vt:lpstr>
      <vt:lpstr>Muskingum</vt:lpstr>
      <vt:lpstr>Ottawa</vt:lpstr>
      <vt:lpstr>Paulding</vt:lpstr>
      <vt:lpstr>Perry</vt:lpstr>
      <vt:lpstr>Pickaway</vt:lpstr>
      <vt:lpstr>Pike</vt:lpstr>
      <vt:lpstr>Portage</vt:lpstr>
      <vt:lpstr>Preble</vt:lpstr>
      <vt:lpstr>Putnam</vt:lpstr>
      <vt:lpstr>Richland</vt:lpstr>
      <vt:lpstr>Ross</vt:lpstr>
      <vt:lpstr>Scioto</vt:lpstr>
      <vt:lpstr>Seneca</vt:lpstr>
      <vt:lpstr>Shelby</vt:lpstr>
      <vt:lpstr>Shelby2</vt:lpstr>
      <vt:lpstr>Stark</vt:lpstr>
      <vt:lpstr>Summit</vt:lpstr>
      <vt:lpstr>Trumbull</vt:lpstr>
      <vt:lpstr>Tuscarawas</vt:lpstr>
      <vt:lpstr>Union</vt:lpstr>
      <vt:lpstr>Vinton</vt:lpstr>
      <vt:lpstr>Warren</vt:lpstr>
      <vt:lpstr>Washington</vt:lpstr>
      <vt:lpstr>Wayne</vt:lpstr>
      <vt:lpstr>Williams</vt:lpstr>
      <vt:lpstr>Wood</vt:lpstr>
      <vt:lpstr>Wyandot</vt:lpstr>
      <vt:lpstr>Cities</vt:lpstr>
    </vt:vector>
  </TitlesOfParts>
  <Company>County Engineers Association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Craig Forrest</cp:lastModifiedBy>
  <cp:lastPrinted>2021-11-16T16:10:31Z</cp:lastPrinted>
  <dcterms:created xsi:type="dcterms:W3CDTF">2008-11-19T15:10:50Z</dcterms:created>
  <dcterms:modified xsi:type="dcterms:W3CDTF">2023-12-04T18:32:31Z</dcterms:modified>
</cp:coreProperties>
</file>