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285" windowHeight="12645" tabRatio="744" activeTab="6"/>
  </bookViews>
  <sheets>
    <sheet name="Introduction" sheetId="1" r:id="rId1"/>
    <sheet name="Definitions and Nomenclature" sheetId="2" r:id="rId2"/>
    <sheet name="Soil Profile" sheetId="3" r:id="rId3"/>
    <sheet name="Bearing Strength Assessment" sheetId="4" r:id="rId4"/>
    <sheet name="Lateral Strength Assessment - U" sheetId="5" r:id="rId5"/>
    <sheet name="Lateral Strength Assessment - S" sheetId="6" r:id="rId6"/>
    <sheet name="Uplift Strength Assessment" sheetId="7" r:id="rId7"/>
  </sheets>
  <definedNames>
    <definedName name="OLE_LINK1" localSheetId="0">'Introduction'!#REF!</definedName>
  </definedNames>
  <calcPr fullCalcOnLoad="1"/>
</workbook>
</file>

<file path=xl/sharedStrings.xml><?xml version="1.0" encoding="utf-8"?>
<sst xmlns="http://schemas.openxmlformats.org/spreadsheetml/2006/main" count="1449" uniqueCount="926">
  <si>
    <t>Shear strength of soil sheared such that pore water pressure is not allowed to dissipate (i.e., undrained condition). Shear strength criterion typically used for short-term loading of soil with significant clay content.</t>
  </si>
  <si>
    <t>Uniaxial compressive stress divided by the corresponding uniaxial strain of a soil sample whose transverse (lateral) expansion is not restricted during load application.</t>
  </si>
  <si>
    <t>A method of proportioning structural members such that elastically computed stresses produced in the members by nominal loads do not exceed specified allowable stresses. Also called “working stress design”.</t>
  </si>
  <si>
    <t>Ratio of the load per unit area on a vertical soil surface to the corresponding lateral displacement of the surface. Also known as the coefficient of horizontal subgrade reaction. It is a function of soil properties, surface area over which the pressure is applied, depth below grade at which the pressure is applied, and the magnitude of the lateral displacement.</t>
  </si>
  <si>
    <t>Ratio of the load per unit area on a horizontal soil surface to the corresponding vertical displacement of the surface. Also known as the coefficient of subgrade reaction or subgrade modulus.</t>
  </si>
  <si>
    <t>Any horizontally-directed forces applied to the foundation.</t>
  </si>
  <si>
    <t>Net soil pressure acting normal to the sides of the foundation in response to horizontal displacements of the foundation.</t>
  </si>
  <si>
    <t>A combination of nominal loads that can reasonably be expected to act on a structure. Loads in a particular combination will be reduced by load factors where there is a low probability of them simultaneously acting at their full value. Load factors in load combinations for strength design also account for uncertainties in structural analyses, and uncertainties surrounding nominal load calculations.</t>
  </si>
  <si>
    <t>A factor that accounts for deviations of the actual load from the nominal loads, for uncertainties in the analysis that transforms the load into a load effect, and for the probability that more than one extreme load will simultaneously occur.</t>
  </si>
  <si>
    <t>The magnitudes of loads specified in ASCE 7 for dead, live, wind, snow, rain, earthquake, etc.</t>
  </si>
  <si>
    <t>Equal to the product of the nominal load and a load factor.</t>
  </si>
  <si>
    <t>A factor that accounts for deviations of the actual strength from the nominal strength and the manner and consequences of failure. Also called “strength reduction factor”.</t>
  </si>
  <si>
    <r>
      <t xml:space="preserve">Force needed in spring for </t>
    </r>
    <r>
      <rPr>
        <b/>
        <i/>
        <sz val="10"/>
        <rFont val="Arial"/>
        <family val="2"/>
      </rPr>
      <t>M</t>
    </r>
    <r>
      <rPr>
        <b/>
        <i/>
        <vertAlign val="subscript"/>
        <sz val="10"/>
        <rFont val="Arial"/>
        <family val="2"/>
      </rPr>
      <t>U</t>
    </r>
    <r>
      <rPr>
        <b/>
        <sz val="10"/>
        <rFont val="Arial"/>
        <family val="2"/>
      </rPr>
      <t>:</t>
    </r>
    <r>
      <rPr>
        <b/>
        <i/>
        <sz val="10"/>
        <rFont val="Arial"/>
        <family val="2"/>
      </rPr>
      <t>V</t>
    </r>
    <r>
      <rPr>
        <b/>
        <i/>
        <vertAlign val="subscript"/>
        <sz val="10"/>
        <rFont val="Arial"/>
        <family val="2"/>
      </rPr>
      <t>U</t>
    </r>
    <r>
      <rPr>
        <b/>
        <sz val="10"/>
        <rFont val="Arial"/>
        <family val="2"/>
      </rPr>
      <t xml:space="preserve"> ratio (in inches) of </t>
    </r>
  </si>
  <si>
    <r>
      <t>V</t>
    </r>
    <r>
      <rPr>
        <b/>
        <i/>
        <vertAlign val="subscript"/>
        <sz val="10"/>
        <rFont val="Arial"/>
        <family val="2"/>
      </rPr>
      <t>U</t>
    </r>
    <r>
      <rPr>
        <b/>
        <sz val="10"/>
        <rFont val="Arial"/>
        <family val="2"/>
      </rPr>
      <t xml:space="preserve"> for </t>
    </r>
    <r>
      <rPr>
        <b/>
        <i/>
        <sz val="10"/>
        <rFont val="Arial"/>
        <family val="2"/>
      </rPr>
      <t>M</t>
    </r>
    <r>
      <rPr>
        <b/>
        <i/>
        <vertAlign val="subscript"/>
        <sz val="10"/>
        <rFont val="Arial"/>
        <family val="2"/>
      </rPr>
      <t>U</t>
    </r>
    <r>
      <rPr>
        <b/>
        <sz val="10"/>
        <rFont val="Arial"/>
        <family val="2"/>
      </rPr>
      <t>:</t>
    </r>
    <r>
      <rPr>
        <b/>
        <i/>
        <sz val="10"/>
        <rFont val="Arial"/>
        <family val="2"/>
      </rPr>
      <t>V</t>
    </r>
    <r>
      <rPr>
        <b/>
        <i/>
        <vertAlign val="subscript"/>
        <sz val="10"/>
        <rFont val="Arial"/>
        <family val="2"/>
      </rPr>
      <t>U</t>
    </r>
    <r>
      <rPr>
        <b/>
        <sz val="10"/>
        <rFont val="Arial"/>
        <family val="2"/>
      </rPr>
      <t xml:space="preserve"> ratio (in inches) of </t>
    </r>
  </si>
  <si>
    <r>
      <t xml:space="preserve">Moment induced by spring force about a point </t>
    </r>
    <r>
      <rPr>
        <b/>
        <i/>
        <sz val="10"/>
        <rFont val="Arial"/>
        <family val="2"/>
      </rPr>
      <t>M</t>
    </r>
    <r>
      <rPr>
        <b/>
        <i/>
        <vertAlign val="subscript"/>
        <sz val="10"/>
        <rFont val="Arial"/>
        <family val="2"/>
      </rPr>
      <t>U</t>
    </r>
    <r>
      <rPr>
        <b/>
        <i/>
        <sz val="10"/>
        <rFont val="Arial"/>
        <family val="2"/>
      </rPr>
      <t>/V</t>
    </r>
    <r>
      <rPr>
        <b/>
        <i/>
        <vertAlign val="subscript"/>
        <sz val="10"/>
        <rFont val="Arial"/>
        <family val="2"/>
      </rPr>
      <t>U</t>
    </r>
    <r>
      <rPr>
        <b/>
        <sz val="10"/>
        <rFont val="Arial"/>
        <family val="2"/>
      </rPr>
      <t xml:space="preserve"> above ground surface,</t>
    </r>
    <r>
      <rPr>
        <b/>
        <i/>
        <sz val="10"/>
        <rFont val="Arial"/>
        <family val="2"/>
      </rPr>
      <t xml:space="preserve"> F</t>
    </r>
    <r>
      <rPr>
        <b/>
        <i/>
        <vertAlign val="subscript"/>
        <sz val="10"/>
        <rFont val="Arial"/>
        <family val="2"/>
      </rPr>
      <t>ult</t>
    </r>
    <r>
      <rPr>
        <b/>
        <sz val="10"/>
        <rFont val="Arial"/>
        <family val="2"/>
      </rPr>
      <t xml:space="preserve"> </t>
    </r>
    <r>
      <rPr>
        <b/>
        <vertAlign val="subscript"/>
        <sz val="10"/>
        <rFont val="Arial"/>
        <family val="2"/>
      </rPr>
      <t xml:space="preserve">* </t>
    </r>
    <r>
      <rPr>
        <b/>
        <sz val="10"/>
        <rFont val="Arial"/>
        <family val="2"/>
      </rPr>
      <t>(</t>
    </r>
    <r>
      <rPr>
        <b/>
        <i/>
        <sz val="10"/>
        <rFont val="Arial"/>
        <family val="2"/>
      </rPr>
      <t>z+M</t>
    </r>
    <r>
      <rPr>
        <b/>
        <i/>
        <vertAlign val="subscript"/>
        <sz val="10"/>
        <rFont val="Arial"/>
        <family val="2"/>
      </rPr>
      <t>U</t>
    </r>
    <r>
      <rPr>
        <b/>
        <i/>
        <sz val="10"/>
        <rFont val="Arial"/>
        <family val="2"/>
      </rPr>
      <t>/V</t>
    </r>
    <r>
      <rPr>
        <b/>
        <i/>
        <vertAlign val="subscript"/>
        <sz val="10"/>
        <rFont val="Arial"/>
        <family val="2"/>
      </rPr>
      <t>U</t>
    </r>
    <r>
      <rPr>
        <b/>
        <i/>
        <sz val="10"/>
        <rFont val="Arial"/>
        <family val="2"/>
      </rPr>
      <t>)</t>
    </r>
  </si>
  <si>
    <r>
      <t xml:space="preserve"> </t>
    </r>
    <r>
      <rPr>
        <i/>
        <sz val="10"/>
        <rFont val="Arial"/>
        <family val="2"/>
      </rPr>
      <t>V</t>
    </r>
    <r>
      <rPr>
        <i/>
        <vertAlign val="subscript"/>
        <sz val="10"/>
        <rFont val="Arial"/>
        <family val="2"/>
      </rPr>
      <t>U</t>
    </r>
  </si>
  <si>
    <r>
      <t xml:space="preserve"> </t>
    </r>
    <r>
      <rPr>
        <i/>
        <sz val="10"/>
        <rFont val="Arial"/>
        <family val="2"/>
      </rPr>
      <t>M</t>
    </r>
    <r>
      <rPr>
        <i/>
        <vertAlign val="subscript"/>
        <sz val="10"/>
        <rFont val="Arial"/>
        <family val="2"/>
      </rPr>
      <t>U</t>
    </r>
  </si>
  <si>
    <r>
      <t xml:space="preserve">Equation from clause 11.2.1 with undrained shear strength </t>
    </r>
    <r>
      <rPr>
        <i/>
        <sz val="10"/>
        <color indexed="8"/>
        <rFont val="Arial"/>
        <family val="2"/>
      </rPr>
      <t>S</t>
    </r>
    <r>
      <rPr>
        <i/>
        <vertAlign val="subscript"/>
        <sz val="10"/>
        <color indexed="8"/>
        <rFont val="Arial"/>
        <family val="2"/>
      </rPr>
      <t>U</t>
    </r>
    <r>
      <rPr>
        <sz val="10"/>
        <color indexed="8"/>
        <rFont val="Arial"/>
        <family val="2"/>
      </rPr>
      <t xml:space="preserve"> determined from PBPMT data in accordance with clause 5.7.2</t>
    </r>
  </si>
  <si>
    <r>
      <t xml:space="preserve">Equation from clause 11.2.1 with undrained shear strength </t>
    </r>
    <r>
      <rPr>
        <i/>
        <sz val="10"/>
        <color indexed="8"/>
        <rFont val="Arial"/>
        <family val="2"/>
      </rPr>
      <t>S</t>
    </r>
    <r>
      <rPr>
        <i/>
        <vertAlign val="subscript"/>
        <sz val="10"/>
        <color indexed="8"/>
        <rFont val="Arial"/>
        <family val="2"/>
      </rPr>
      <t>U</t>
    </r>
    <r>
      <rPr>
        <sz val="10"/>
        <color indexed="8"/>
        <rFont val="Arial"/>
        <family val="2"/>
      </rPr>
      <t xml:space="preserve"> determined from CPT data in accordance with clause 5.7.3</t>
    </r>
  </si>
  <si>
    <r>
      <t xml:space="preserve">Equation from clause 11.2.1 with undrained shear strength </t>
    </r>
    <r>
      <rPr>
        <i/>
        <sz val="10"/>
        <color indexed="8"/>
        <rFont val="Arial"/>
        <family val="2"/>
      </rPr>
      <t>S</t>
    </r>
    <r>
      <rPr>
        <i/>
        <vertAlign val="subscript"/>
        <sz val="10"/>
        <color indexed="8"/>
        <rFont val="Arial"/>
        <family val="2"/>
      </rPr>
      <t>U</t>
    </r>
    <r>
      <rPr>
        <sz val="10"/>
        <color indexed="8"/>
        <rFont val="Arial"/>
        <family val="2"/>
      </rPr>
      <t xml:space="preserve"> determined from in-situ vane tests in accordance with clause 5.7.4</t>
    </r>
  </si>
  <si>
    <r>
      <t xml:space="preserve">Undrained shear strength </t>
    </r>
    <r>
      <rPr>
        <i/>
        <sz val="10"/>
        <color indexed="8"/>
        <rFont val="Arial"/>
        <family val="2"/>
      </rPr>
      <t>S</t>
    </r>
    <r>
      <rPr>
        <i/>
        <vertAlign val="subscript"/>
        <sz val="10"/>
        <color indexed="8"/>
        <rFont val="Arial"/>
        <family val="2"/>
      </rPr>
      <t>U</t>
    </r>
    <r>
      <rPr>
        <sz val="10"/>
        <color indexed="8"/>
        <rFont val="Arial"/>
        <family val="2"/>
      </rPr>
      <t xml:space="preserve"> for use in the equation of clause 12.5.2</t>
    </r>
  </si>
  <si>
    <t>Distance to top of layer</t>
  </si>
  <si>
    <t>Distance to bottom of layer</t>
  </si>
  <si>
    <t>lbf per cubic foot</t>
  </si>
  <si>
    <t>lbf per square inch</t>
  </si>
  <si>
    <t>degrees</t>
  </si>
  <si>
    <t>Soil Layer (List Top to Bottom)</t>
  </si>
  <si>
    <t>Symbol</t>
  </si>
  <si>
    <t>Variable</t>
  </si>
  <si>
    <t xml:space="preserve">lbf   </t>
  </si>
  <si>
    <t>dimensionless</t>
  </si>
  <si>
    <t>b</t>
  </si>
  <si>
    <t>d</t>
  </si>
  <si>
    <t>inch</t>
  </si>
  <si>
    <t>Maximum ASD Groundline Moment</t>
  </si>
  <si>
    <t>g</t>
  </si>
  <si>
    <t>Are design requirements met?</t>
  </si>
  <si>
    <t>Unified Soil Classification</t>
  </si>
  <si>
    <t>Blue</t>
  </si>
  <si>
    <t>Green</t>
  </si>
  <si>
    <t>Yellow</t>
  </si>
  <si>
    <t>Orange</t>
  </si>
  <si>
    <t>Red</t>
  </si>
  <si>
    <t>White</t>
  </si>
  <si>
    <t>Input Values</t>
  </si>
  <si>
    <t>Calculated Values</t>
  </si>
  <si>
    <t>B</t>
  </si>
  <si>
    <r>
      <t>F</t>
    </r>
    <r>
      <rPr>
        <b/>
        <i/>
        <vertAlign val="subscript"/>
        <sz val="10"/>
        <rFont val="Arial"/>
        <family val="2"/>
      </rPr>
      <t>ult</t>
    </r>
    <r>
      <rPr>
        <b/>
        <sz val="10"/>
        <rFont val="Arial"/>
        <family val="2"/>
      </rPr>
      <t xml:space="preserve"> </t>
    </r>
    <r>
      <rPr>
        <b/>
        <vertAlign val="subscript"/>
        <sz val="10"/>
        <rFont val="Arial"/>
        <family val="2"/>
      </rPr>
      <t xml:space="preserve">* </t>
    </r>
    <r>
      <rPr>
        <b/>
        <i/>
        <sz val="10"/>
        <rFont val="Arial"/>
        <family val="2"/>
      </rPr>
      <t>z</t>
    </r>
  </si>
  <si>
    <t>A</t>
  </si>
  <si>
    <r>
      <t>A</t>
    </r>
    <r>
      <rPr>
        <i/>
        <vertAlign val="subscript"/>
        <sz val="10"/>
        <rFont val="Arial"/>
        <family val="2"/>
      </rPr>
      <t>P</t>
    </r>
  </si>
  <si>
    <t>c</t>
  </si>
  <si>
    <r>
      <t>C</t>
    </r>
    <r>
      <rPr>
        <i/>
        <vertAlign val="subscript"/>
        <sz val="10"/>
        <rFont val="Arial"/>
        <family val="2"/>
      </rPr>
      <t>PB</t>
    </r>
  </si>
  <si>
    <r>
      <t>C</t>
    </r>
    <r>
      <rPr>
        <i/>
        <vertAlign val="subscript"/>
        <sz val="10"/>
        <rFont val="Arial"/>
        <family val="2"/>
      </rPr>
      <t>SPT</t>
    </r>
  </si>
  <si>
    <r>
      <t>C</t>
    </r>
    <r>
      <rPr>
        <i/>
        <vertAlign val="subscript"/>
        <sz val="10"/>
        <rFont val="Arial"/>
        <family val="2"/>
      </rPr>
      <t>w1</t>
    </r>
  </si>
  <si>
    <r>
      <t>C</t>
    </r>
    <r>
      <rPr>
        <i/>
        <vertAlign val="subscript"/>
        <sz val="10"/>
        <rFont val="Arial"/>
        <family val="2"/>
      </rPr>
      <t>w2</t>
    </r>
  </si>
  <si>
    <r>
      <t>d</t>
    </r>
    <r>
      <rPr>
        <i/>
        <vertAlign val="subscript"/>
        <sz val="10"/>
        <rFont val="Arial"/>
        <family val="2"/>
      </rPr>
      <t>c</t>
    </r>
  </si>
  <si>
    <r>
      <t>d</t>
    </r>
    <r>
      <rPr>
        <i/>
        <vertAlign val="subscript"/>
        <sz val="10"/>
        <rFont val="Arial"/>
        <family val="2"/>
      </rPr>
      <t>q</t>
    </r>
  </si>
  <si>
    <r>
      <t>d</t>
    </r>
    <r>
      <rPr>
        <i/>
        <vertAlign val="subscript"/>
        <sz val="10"/>
        <rFont val="Arial"/>
        <family val="2"/>
      </rPr>
      <t>RU</t>
    </r>
  </si>
  <si>
    <r>
      <t>d</t>
    </r>
    <r>
      <rPr>
        <i/>
        <vertAlign val="subscript"/>
        <sz val="10"/>
        <rFont val="Arial"/>
        <family val="2"/>
      </rPr>
      <t>F</t>
    </r>
  </si>
  <si>
    <r>
      <t>d</t>
    </r>
    <r>
      <rPr>
        <i/>
        <vertAlign val="subscript"/>
        <sz val="10"/>
        <rFont val="Arial"/>
        <family val="2"/>
      </rPr>
      <t>U</t>
    </r>
  </si>
  <si>
    <r>
      <t>d</t>
    </r>
    <r>
      <rPr>
        <i/>
        <vertAlign val="subscript"/>
        <sz val="10"/>
        <rFont val="Arial"/>
        <family val="2"/>
      </rPr>
      <t>W</t>
    </r>
  </si>
  <si>
    <r>
      <t>f</t>
    </r>
    <r>
      <rPr>
        <i/>
        <vertAlign val="subscript"/>
        <sz val="10"/>
        <rFont val="Arial"/>
        <family val="2"/>
      </rPr>
      <t>B</t>
    </r>
  </si>
  <si>
    <r>
      <t>f</t>
    </r>
    <r>
      <rPr>
        <i/>
        <vertAlign val="subscript"/>
        <sz val="10"/>
        <rFont val="Arial"/>
        <family val="2"/>
      </rPr>
      <t>L</t>
    </r>
  </si>
  <si>
    <r>
      <t>f</t>
    </r>
    <r>
      <rPr>
        <i/>
        <vertAlign val="subscript"/>
        <sz val="10"/>
        <rFont val="Arial"/>
        <family val="2"/>
      </rPr>
      <t>U</t>
    </r>
  </si>
  <si>
    <r>
      <t>F</t>
    </r>
    <r>
      <rPr>
        <i/>
        <vertAlign val="subscript"/>
        <sz val="10"/>
        <rFont val="Arial"/>
        <family val="2"/>
      </rPr>
      <t>C</t>
    </r>
  </si>
  <si>
    <t>h</t>
  </si>
  <si>
    <r>
      <t>K</t>
    </r>
    <r>
      <rPr>
        <i/>
        <vertAlign val="subscript"/>
        <sz val="10"/>
        <rFont val="Arial"/>
        <family val="2"/>
      </rPr>
      <t>U</t>
    </r>
  </si>
  <si>
    <r>
      <t>M</t>
    </r>
    <r>
      <rPr>
        <i/>
        <vertAlign val="subscript"/>
        <sz val="10"/>
        <rFont val="Arial"/>
        <family val="2"/>
      </rPr>
      <t>F</t>
    </r>
  </si>
  <si>
    <r>
      <t>M</t>
    </r>
    <r>
      <rPr>
        <i/>
        <vertAlign val="subscript"/>
        <sz val="10"/>
        <rFont val="Arial"/>
        <family val="2"/>
      </rPr>
      <t>ASD</t>
    </r>
  </si>
  <si>
    <r>
      <t>M</t>
    </r>
    <r>
      <rPr>
        <i/>
        <vertAlign val="subscript"/>
        <sz val="10"/>
        <rFont val="Arial"/>
        <family val="2"/>
      </rPr>
      <t>LRFD</t>
    </r>
  </si>
  <si>
    <r>
      <t>N</t>
    </r>
    <r>
      <rPr>
        <i/>
        <vertAlign val="subscript"/>
        <sz val="10"/>
        <rFont val="Arial"/>
        <family val="2"/>
      </rPr>
      <t>C</t>
    </r>
  </si>
  <si>
    <r>
      <t>N</t>
    </r>
    <r>
      <rPr>
        <i/>
        <vertAlign val="subscript"/>
        <sz val="10"/>
        <rFont val="Arial"/>
        <family val="2"/>
      </rPr>
      <t>γ</t>
    </r>
  </si>
  <si>
    <r>
      <t>N</t>
    </r>
    <r>
      <rPr>
        <i/>
        <vertAlign val="subscript"/>
        <sz val="10"/>
        <rFont val="Arial"/>
        <family val="2"/>
      </rPr>
      <t>q</t>
    </r>
  </si>
  <si>
    <r>
      <t>N</t>
    </r>
    <r>
      <rPr>
        <i/>
        <vertAlign val="subscript"/>
        <sz val="10"/>
        <rFont val="Arial"/>
        <family val="2"/>
      </rPr>
      <t>SPT</t>
    </r>
  </si>
  <si>
    <r>
      <t>N</t>
    </r>
    <r>
      <rPr>
        <i/>
        <vertAlign val="subscript"/>
        <sz val="10"/>
        <rFont val="Arial"/>
        <family val="2"/>
      </rPr>
      <t>60</t>
    </r>
  </si>
  <si>
    <r>
      <t>(N</t>
    </r>
    <r>
      <rPr>
        <i/>
        <vertAlign val="subscript"/>
        <sz val="10"/>
        <rFont val="Arial"/>
        <family val="2"/>
      </rPr>
      <t>1</t>
    </r>
    <r>
      <rPr>
        <i/>
        <sz val="10"/>
        <rFont val="Arial"/>
        <family val="2"/>
      </rPr>
      <t>)</t>
    </r>
    <r>
      <rPr>
        <i/>
        <vertAlign val="subscript"/>
        <sz val="10"/>
        <rFont val="Arial"/>
        <family val="2"/>
      </rPr>
      <t>60</t>
    </r>
  </si>
  <si>
    <r>
      <t>p</t>
    </r>
    <r>
      <rPr>
        <i/>
        <vertAlign val="subscript"/>
        <sz val="10"/>
        <rFont val="Arial"/>
        <family val="2"/>
      </rPr>
      <t>A</t>
    </r>
  </si>
  <si>
    <r>
      <t>p</t>
    </r>
    <r>
      <rPr>
        <i/>
        <vertAlign val="subscript"/>
        <sz val="10"/>
        <rFont val="Arial"/>
        <family val="2"/>
      </rPr>
      <t>L</t>
    </r>
  </si>
  <si>
    <r>
      <t>P</t>
    </r>
    <r>
      <rPr>
        <i/>
        <vertAlign val="subscript"/>
        <sz val="10"/>
        <rFont val="Arial"/>
        <family val="2"/>
      </rPr>
      <t>LRFD</t>
    </r>
  </si>
  <si>
    <r>
      <t>P</t>
    </r>
    <r>
      <rPr>
        <i/>
        <vertAlign val="subscript"/>
        <sz val="10"/>
        <rFont val="Arial"/>
        <family val="2"/>
      </rPr>
      <t>ASD</t>
    </r>
  </si>
  <si>
    <r>
      <t>q</t>
    </r>
    <r>
      <rPr>
        <i/>
        <vertAlign val="subscript"/>
        <sz val="10"/>
        <rFont val="Arial"/>
        <family val="2"/>
      </rPr>
      <t>B</t>
    </r>
  </si>
  <si>
    <r>
      <t>q</t>
    </r>
    <r>
      <rPr>
        <i/>
        <vertAlign val="subscript"/>
        <sz val="10"/>
        <rFont val="Arial"/>
        <family val="2"/>
      </rPr>
      <t>cr</t>
    </r>
  </si>
  <si>
    <r>
      <t>q</t>
    </r>
    <r>
      <rPr>
        <i/>
        <vertAlign val="subscript"/>
        <sz val="10"/>
        <rFont val="Arial"/>
        <family val="2"/>
      </rPr>
      <t>0</t>
    </r>
  </si>
  <si>
    <r>
      <t>R</t>
    </r>
    <r>
      <rPr>
        <i/>
        <vertAlign val="subscript"/>
        <sz val="10"/>
        <rFont val="Arial"/>
        <family val="2"/>
      </rPr>
      <t>B</t>
    </r>
  </si>
  <si>
    <r>
      <t>R</t>
    </r>
    <r>
      <rPr>
        <i/>
        <vertAlign val="subscript"/>
        <sz val="10"/>
        <rFont val="Arial"/>
        <family val="2"/>
      </rPr>
      <t>L</t>
    </r>
  </si>
  <si>
    <r>
      <t>R</t>
    </r>
    <r>
      <rPr>
        <i/>
        <vertAlign val="subscript"/>
        <sz val="10"/>
        <rFont val="Arial"/>
        <family val="2"/>
      </rPr>
      <t>U</t>
    </r>
  </si>
  <si>
    <r>
      <t>s</t>
    </r>
    <r>
      <rPr>
        <i/>
        <vertAlign val="subscript"/>
        <sz val="10"/>
        <rFont val="Arial"/>
        <family val="2"/>
      </rPr>
      <t>c</t>
    </r>
  </si>
  <si>
    <r>
      <t>s</t>
    </r>
    <r>
      <rPr>
        <i/>
        <vertAlign val="subscript"/>
        <sz val="10"/>
        <rFont val="Arial"/>
        <family val="2"/>
      </rPr>
      <t>q</t>
    </r>
  </si>
  <si>
    <r>
      <t>s</t>
    </r>
    <r>
      <rPr>
        <i/>
        <vertAlign val="subscript"/>
        <sz val="10"/>
        <rFont val="Arial"/>
        <family val="2"/>
      </rPr>
      <t>γ</t>
    </r>
  </si>
  <si>
    <r>
      <t>s</t>
    </r>
    <r>
      <rPr>
        <i/>
        <vertAlign val="subscript"/>
        <sz val="10"/>
        <rFont val="Arial"/>
        <family val="2"/>
      </rPr>
      <t>F</t>
    </r>
    <r>
      <rPr>
        <sz val="10"/>
        <rFont val="Arial"/>
        <family val="2"/>
      </rPr>
      <t xml:space="preserve"> </t>
    </r>
  </si>
  <si>
    <r>
      <t>S</t>
    </r>
    <r>
      <rPr>
        <i/>
        <vertAlign val="subscript"/>
        <sz val="10"/>
        <rFont val="Arial"/>
        <family val="2"/>
      </rPr>
      <t>LU</t>
    </r>
  </si>
  <si>
    <t>U</t>
  </si>
  <si>
    <r>
      <t>σ</t>
    </r>
    <r>
      <rPr>
        <i/>
        <vertAlign val="subscript"/>
        <sz val="10"/>
        <rFont val="Arial"/>
        <family val="2"/>
      </rPr>
      <t>0h</t>
    </r>
  </si>
  <si>
    <t>f</t>
  </si>
  <si>
    <r>
      <t>lbf/in</t>
    </r>
    <r>
      <rPr>
        <vertAlign val="superscript"/>
        <sz val="10"/>
        <rFont val="Arial"/>
        <family val="2"/>
      </rPr>
      <t>2</t>
    </r>
  </si>
  <si>
    <t>lbm</t>
  </si>
  <si>
    <r>
      <t xml:space="preserve">For lateral load checks, </t>
    </r>
    <r>
      <rPr>
        <i/>
        <sz val="10"/>
        <rFont val="Arial"/>
        <family val="2"/>
      </rPr>
      <t>d</t>
    </r>
    <r>
      <rPr>
        <i/>
        <vertAlign val="subscript"/>
        <sz val="10"/>
        <rFont val="Arial"/>
        <family val="2"/>
      </rPr>
      <t>f</t>
    </r>
    <r>
      <rPr>
        <vertAlign val="subscript"/>
        <sz val="10"/>
        <rFont val="Arial"/>
        <family val="2"/>
      </rPr>
      <t xml:space="preserve"> </t>
    </r>
    <r>
      <rPr>
        <sz val="10"/>
        <rFont val="Arial"/>
        <family val="0"/>
      </rPr>
      <t>is equal to post/pier embedment depth plus thickness of attached footing</t>
    </r>
  </si>
  <si>
    <t xml:space="preserve"> You must fill in all yellow colored cells in the tables below</t>
  </si>
  <si>
    <r>
      <t>Width</t>
    </r>
    <r>
      <rPr>
        <vertAlign val="superscript"/>
        <sz val="10"/>
        <rFont val="Arial"/>
        <family val="2"/>
      </rPr>
      <t xml:space="preserve"> (a)</t>
    </r>
  </si>
  <si>
    <r>
      <t xml:space="preserve">Width </t>
    </r>
    <r>
      <rPr>
        <vertAlign val="superscript"/>
        <sz val="10"/>
        <rFont val="Arial"/>
        <family val="2"/>
      </rPr>
      <t>(a)</t>
    </r>
  </si>
  <si>
    <r>
      <t>(a)</t>
    </r>
    <r>
      <rPr>
        <sz val="10"/>
        <rFont val="Arial"/>
        <family val="0"/>
      </rPr>
      <t xml:space="preserve"> Horizontal dimension of the face of the component that is pushing on the soil.  Equal to diameter for round components. </t>
    </r>
  </si>
  <si>
    <t>Obtain from table to the right</t>
  </si>
  <si>
    <r>
      <t xml:space="preserve">Max allowed </t>
    </r>
    <r>
      <rPr>
        <i/>
        <sz val="10"/>
        <rFont val="Arial"/>
        <family val="2"/>
      </rPr>
      <t>M</t>
    </r>
    <r>
      <rPr>
        <i/>
        <vertAlign val="subscript"/>
        <sz val="10"/>
        <rFont val="Arial"/>
        <family val="2"/>
      </rPr>
      <t>ASD</t>
    </r>
    <r>
      <rPr>
        <i/>
        <sz val="10"/>
        <rFont val="Arial"/>
        <family val="2"/>
      </rPr>
      <t xml:space="preserve"> </t>
    </r>
    <r>
      <rPr>
        <sz val="10"/>
        <rFont val="Arial"/>
        <family val="0"/>
      </rPr>
      <t>for surface constrained post</t>
    </r>
  </si>
  <si>
    <r>
      <t xml:space="preserve">Max allowed </t>
    </r>
    <r>
      <rPr>
        <i/>
        <sz val="10"/>
        <rFont val="Arial"/>
        <family val="2"/>
      </rPr>
      <t>M</t>
    </r>
    <r>
      <rPr>
        <i/>
        <vertAlign val="subscript"/>
        <sz val="10"/>
        <rFont val="Arial"/>
        <family val="2"/>
      </rPr>
      <t>LRFD</t>
    </r>
    <r>
      <rPr>
        <i/>
        <sz val="10"/>
        <rFont val="Arial"/>
        <family val="2"/>
      </rPr>
      <t xml:space="preserve"> </t>
    </r>
    <r>
      <rPr>
        <sz val="10"/>
        <rFont val="Arial"/>
        <family val="0"/>
      </rPr>
      <t>for surface constrained post</t>
    </r>
  </si>
  <si>
    <r>
      <t xml:space="preserve">Absolute value of </t>
    </r>
    <r>
      <rPr>
        <i/>
        <sz val="10"/>
        <rFont val="Arial"/>
        <family val="2"/>
      </rPr>
      <t>M</t>
    </r>
    <r>
      <rPr>
        <i/>
        <vertAlign val="subscript"/>
        <sz val="10"/>
        <rFont val="Arial"/>
        <family val="2"/>
      </rPr>
      <t>LRFD</t>
    </r>
    <r>
      <rPr>
        <sz val="10"/>
        <rFont val="Arial"/>
        <family val="0"/>
      </rPr>
      <t xml:space="preserve"> can't exceed this value</t>
    </r>
  </si>
  <si>
    <r>
      <t xml:space="preserve">Absolute value of </t>
    </r>
    <r>
      <rPr>
        <i/>
        <sz val="10"/>
        <rFont val="Arial"/>
        <family val="2"/>
      </rPr>
      <t>M</t>
    </r>
    <r>
      <rPr>
        <i/>
        <vertAlign val="subscript"/>
        <sz val="10"/>
        <rFont val="Arial"/>
        <family val="2"/>
      </rPr>
      <t>ASD</t>
    </r>
    <r>
      <rPr>
        <sz val="10"/>
        <rFont val="Arial"/>
        <family val="0"/>
      </rPr>
      <t xml:space="preserve"> can't exceed this value</t>
    </r>
  </si>
  <si>
    <t>lbf/lbm</t>
  </si>
  <si>
    <r>
      <t>lbf/ft</t>
    </r>
    <r>
      <rPr>
        <vertAlign val="superscript"/>
        <sz val="10"/>
        <rFont val="Arial"/>
        <family val="2"/>
      </rPr>
      <t>3</t>
    </r>
  </si>
  <si>
    <r>
      <t>lbm/ft</t>
    </r>
    <r>
      <rPr>
        <vertAlign val="superscript"/>
        <sz val="10"/>
        <rFont val="Arial"/>
        <family val="2"/>
      </rPr>
      <t>3</t>
    </r>
  </si>
  <si>
    <t>Post/pier width</t>
  </si>
  <si>
    <t>Collar width</t>
  </si>
  <si>
    <t>Concrete or CLSM backfill width</t>
  </si>
  <si>
    <r>
      <t xml:space="preserve">Ultimate lateral resistance, </t>
    </r>
    <r>
      <rPr>
        <b/>
        <i/>
        <sz val="10"/>
        <rFont val="Arial"/>
        <family val="2"/>
      </rPr>
      <t>p</t>
    </r>
    <r>
      <rPr>
        <b/>
        <i/>
        <vertAlign val="subscript"/>
        <sz val="10"/>
        <rFont val="Arial"/>
        <family val="2"/>
      </rPr>
      <t>U,z</t>
    </r>
  </si>
  <si>
    <r>
      <t xml:space="preserve">Undrained soil shear strength (adjusted for depth), </t>
    </r>
    <r>
      <rPr>
        <b/>
        <i/>
        <sz val="10"/>
        <rFont val="Arial"/>
        <family val="2"/>
      </rPr>
      <t>S</t>
    </r>
    <r>
      <rPr>
        <b/>
        <i/>
        <vertAlign val="subscript"/>
        <sz val="10"/>
        <rFont val="Arial"/>
        <family val="2"/>
      </rPr>
      <t>U</t>
    </r>
  </si>
  <si>
    <r>
      <t xml:space="preserve">Undrained soil shear strength, </t>
    </r>
    <r>
      <rPr>
        <b/>
        <i/>
        <sz val="10"/>
        <rFont val="Arial"/>
        <family val="2"/>
      </rPr>
      <t>S</t>
    </r>
    <r>
      <rPr>
        <b/>
        <i/>
        <vertAlign val="subscript"/>
        <sz val="10"/>
        <rFont val="Arial"/>
        <family val="2"/>
      </rPr>
      <t>U</t>
    </r>
  </si>
  <si>
    <r>
      <t xml:space="preserve">Depth, </t>
    </r>
    <r>
      <rPr>
        <b/>
        <i/>
        <sz val="10"/>
        <rFont val="Arial"/>
        <family val="2"/>
      </rPr>
      <t>z</t>
    </r>
  </si>
  <si>
    <r>
      <t xml:space="preserve">Thickness, </t>
    </r>
    <r>
      <rPr>
        <b/>
        <i/>
        <sz val="10"/>
        <rFont val="Arial"/>
        <family val="2"/>
      </rPr>
      <t>t</t>
    </r>
  </si>
  <si>
    <r>
      <t xml:space="preserve">Footing width, </t>
    </r>
    <r>
      <rPr>
        <b/>
        <i/>
        <sz val="10"/>
        <rFont val="Arial"/>
        <family val="2"/>
      </rPr>
      <t>B</t>
    </r>
  </si>
  <si>
    <r>
      <t>Foundation width,</t>
    </r>
    <r>
      <rPr>
        <b/>
        <i/>
        <sz val="10"/>
        <rFont val="Arial"/>
        <family val="2"/>
      </rPr>
      <t xml:space="preserve"> b</t>
    </r>
  </si>
  <si>
    <r>
      <t xml:space="preserve">Ultimate spring force, </t>
    </r>
    <r>
      <rPr>
        <b/>
        <i/>
        <sz val="10"/>
        <rFont val="Arial"/>
        <family val="2"/>
      </rPr>
      <t>F</t>
    </r>
    <r>
      <rPr>
        <b/>
        <i/>
        <vertAlign val="subscript"/>
        <sz val="10"/>
        <rFont val="Arial"/>
        <family val="2"/>
      </rPr>
      <t>ult</t>
    </r>
  </si>
  <si>
    <t xml:space="preserve">  Spring Properties</t>
  </si>
  <si>
    <t xml:space="preserve">  Lateral  Strength Assessment - Universal Method</t>
  </si>
  <si>
    <t>Foundation Dimensions</t>
  </si>
  <si>
    <t>Enter "0" (zero) if no attached collar</t>
  </si>
  <si>
    <t>Enter "0" (zero) if no concrete/CLSM backfill</t>
  </si>
  <si>
    <t>Enter "0" (zero) if no attached footing</t>
  </si>
  <si>
    <t>Blows per 12 in.</t>
  </si>
  <si>
    <t>Equation</t>
  </si>
  <si>
    <t>Description</t>
  </si>
  <si>
    <r>
      <t>(a)</t>
    </r>
    <r>
      <rPr>
        <sz val="10"/>
        <rFont val="Arial"/>
        <family val="0"/>
      </rPr>
      <t xml:space="preserve"> </t>
    </r>
    <r>
      <rPr>
        <i/>
        <sz val="10"/>
        <rFont val="Arial"/>
        <family val="2"/>
      </rPr>
      <t>B</t>
    </r>
    <r>
      <rPr>
        <sz val="10"/>
        <rFont val="Arial"/>
        <family val="0"/>
      </rPr>
      <t xml:space="preserve"> is footing width/diameter</t>
    </r>
  </si>
  <si>
    <r>
      <t xml:space="preserve">0.5 when </t>
    </r>
    <r>
      <rPr>
        <i/>
        <sz val="10"/>
        <rFont val="Arial"/>
        <family val="2"/>
      </rPr>
      <t>d</t>
    </r>
    <r>
      <rPr>
        <i/>
        <vertAlign val="subscript"/>
        <sz val="10"/>
        <rFont val="Arial"/>
        <family val="2"/>
      </rPr>
      <t>W</t>
    </r>
    <r>
      <rPr>
        <vertAlign val="subscript"/>
        <sz val="10"/>
        <rFont val="Arial"/>
        <family val="2"/>
      </rPr>
      <t xml:space="preserve"> </t>
    </r>
    <r>
      <rPr>
        <sz val="10"/>
        <rFont val="Arial"/>
        <family val="0"/>
      </rPr>
      <t>&lt;</t>
    </r>
    <r>
      <rPr>
        <i/>
        <sz val="10"/>
        <rFont val="Arial"/>
        <family val="2"/>
      </rPr>
      <t xml:space="preserve"> d</t>
    </r>
    <r>
      <rPr>
        <i/>
        <vertAlign val="subscript"/>
        <sz val="10"/>
        <rFont val="Arial"/>
        <family val="2"/>
      </rPr>
      <t>F</t>
    </r>
    <r>
      <rPr>
        <sz val="10"/>
        <rFont val="Arial"/>
        <family val="2"/>
      </rPr>
      <t xml:space="preserve">; 1.0 when </t>
    </r>
    <r>
      <rPr>
        <i/>
        <sz val="10"/>
        <rFont val="Arial"/>
        <family val="2"/>
      </rPr>
      <t>d</t>
    </r>
    <r>
      <rPr>
        <i/>
        <vertAlign val="subscript"/>
        <sz val="10"/>
        <rFont val="Arial"/>
        <family val="2"/>
      </rPr>
      <t>W</t>
    </r>
    <r>
      <rPr>
        <sz val="10"/>
        <rFont val="Arial"/>
        <family val="2"/>
      </rPr>
      <t xml:space="preserve">  &gt; 1.5</t>
    </r>
    <r>
      <rPr>
        <i/>
        <sz val="10"/>
        <rFont val="Arial"/>
        <family val="2"/>
      </rPr>
      <t>B</t>
    </r>
    <r>
      <rPr>
        <sz val="10"/>
        <rFont val="Arial"/>
        <family val="2"/>
      </rPr>
      <t xml:space="preserve"> +</t>
    </r>
    <r>
      <rPr>
        <i/>
        <sz val="10"/>
        <rFont val="Arial"/>
        <family val="2"/>
      </rPr>
      <t xml:space="preserve"> d</t>
    </r>
    <r>
      <rPr>
        <i/>
        <vertAlign val="subscript"/>
        <sz val="10"/>
        <rFont val="Arial"/>
        <family val="2"/>
      </rPr>
      <t>F</t>
    </r>
    <r>
      <rPr>
        <i/>
        <sz val="10"/>
        <rFont val="Arial"/>
        <family val="2"/>
      </rPr>
      <t>;</t>
    </r>
    <r>
      <rPr>
        <sz val="10"/>
        <rFont val="Arial"/>
        <family val="2"/>
      </rPr>
      <t xml:space="preserve"> 0.5 + (</t>
    </r>
    <r>
      <rPr>
        <i/>
        <sz val="10"/>
        <rFont val="Arial"/>
        <family val="2"/>
      </rPr>
      <t>d</t>
    </r>
    <r>
      <rPr>
        <i/>
        <vertAlign val="subscript"/>
        <sz val="10"/>
        <rFont val="Arial"/>
        <family val="2"/>
      </rPr>
      <t>W</t>
    </r>
    <r>
      <rPr>
        <sz val="10"/>
        <rFont val="Arial"/>
        <family val="2"/>
      </rPr>
      <t>-</t>
    </r>
    <r>
      <rPr>
        <i/>
        <sz val="10"/>
        <rFont val="Arial"/>
        <family val="2"/>
      </rPr>
      <t>d</t>
    </r>
    <r>
      <rPr>
        <i/>
        <vertAlign val="subscript"/>
        <sz val="10"/>
        <rFont val="Arial"/>
        <family val="2"/>
      </rPr>
      <t>F</t>
    </r>
    <r>
      <rPr>
        <sz val="10"/>
        <rFont val="Arial"/>
        <family val="2"/>
      </rPr>
      <t xml:space="preserve">)/(3B)  when </t>
    </r>
    <r>
      <rPr>
        <i/>
        <sz val="10"/>
        <rFont val="Arial"/>
        <family val="2"/>
      </rPr>
      <t>d</t>
    </r>
    <r>
      <rPr>
        <i/>
        <vertAlign val="subscript"/>
        <sz val="10"/>
        <rFont val="Arial"/>
        <family val="2"/>
      </rPr>
      <t>F</t>
    </r>
    <r>
      <rPr>
        <sz val="10"/>
        <rFont val="Arial"/>
        <family val="2"/>
      </rPr>
      <t xml:space="preserve"> &lt; </t>
    </r>
    <r>
      <rPr>
        <i/>
        <sz val="10"/>
        <rFont val="Arial"/>
        <family val="2"/>
      </rPr>
      <t>d</t>
    </r>
    <r>
      <rPr>
        <i/>
        <vertAlign val="subscript"/>
        <sz val="10"/>
        <rFont val="Arial"/>
        <family val="2"/>
      </rPr>
      <t>W</t>
    </r>
    <r>
      <rPr>
        <sz val="10"/>
        <rFont val="Arial"/>
        <family val="2"/>
      </rPr>
      <t xml:space="preserve"> &lt; 1.5</t>
    </r>
    <r>
      <rPr>
        <i/>
        <sz val="10"/>
        <rFont val="Arial"/>
        <family val="2"/>
      </rPr>
      <t>B</t>
    </r>
    <r>
      <rPr>
        <sz val="10"/>
        <rFont val="Arial"/>
        <family val="2"/>
      </rPr>
      <t xml:space="preserve"> + </t>
    </r>
    <r>
      <rPr>
        <i/>
        <sz val="10"/>
        <rFont val="Arial"/>
        <family val="2"/>
      </rPr>
      <t>d</t>
    </r>
    <r>
      <rPr>
        <i/>
        <vertAlign val="subscript"/>
        <sz val="10"/>
        <rFont val="Arial"/>
        <family val="2"/>
      </rPr>
      <t>F</t>
    </r>
  </si>
  <si>
    <r>
      <t>0.5 + 0.5 d</t>
    </r>
    <r>
      <rPr>
        <vertAlign val="subscript"/>
        <sz val="10"/>
        <rFont val="Arial"/>
        <family val="2"/>
      </rPr>
      <t>W</t>
    </r>
    <r>
      <rPr>
        <sz val="10"/>
        <rFont val="Arial"/>
        <family val="0"/>
      </rPr>
      <t>/d</t>
    </r>
    <r>
      <rPr>
        <vertAlign val="subscript"/>
        <sz val="10"/>
        <rFont val="Arial"/>
        <family val="2"/>
      </rPr>
      <t>F</t>
    </r>
    <r>
      <rPr>
        <sz val="10"/>
        <rFont val="Arial"/>
        <family val="0"/>
      </rPr>
      <t xml:space="preserve"> when d</t>
    </r>
    <r>
      <rPr>
        <vertAlign val="subscript"/>
        <sz val="10"/>
        <rFont val="Arial"/>
        <family val="2"/>
      </rPr>
      <t>W</t>
    </r>
    <r>
      <rPr>
        <sz val="10"/>
        <rFont val="Arial"/>
        <family val="0"/>
      </rPr>
      <t xml:space="preserve"> &lt; d</t>
    </r>
    <r>
      <rPr>
        <vertAlign val="subscript"/>
        <sz val="10"/>
        <rFont val="Arial"/>
        <family val="2"/>
      </rPr>
      <t>F</t>
    </r>
    <r>
      <rPr>
        <sz val="10"/>
        <rFont val="Arial"/>
        <family val="0"/>
      </rPr>
      <t xml:space="preserve"> else equal to 1.0</t>
    </r>
  </si>
  <si>
    <r>
      <t>S</t>
    </r>
    <r>
      <rPr>
        <i/>
        <vertAlign val="subscript"/>
        <sz val="10"/>
        <rFont val="Arial"/>
        <family val="2"/>
      </rPr>
      <t>U</t>
    </r>
  </si>
  <si>
    <t>depth factor for ultimate bearing strength of a cohesive soil based on the general bearing capacity equation</t>
  </si>
  <si>
    <r>
      <t xml:space="preserve">1 + 0.2 </t>
    </r>
    <r>
      <rPr>
        <i/>
        <sz val="10"/>
        <rFont val="Arial"/>
        <family val="2"/>
      </rPr>
      <t>d</t>
    </r>
    <r>
      <rPr>
        <i/>
        <vertAlign val="subscript"/>
        <sz val="10"/>
        <rFont val="Arial"/>
        <family val="2"/>
      </rPr>
      <t>F</t>
    </r>
    <r>
      <rPr>
        <sz val="10"/>
        <rFont val="Arial"/>
        <family val="0"/>
      </rPr>
      <t>/</t>
    </r>
    <r>
      <rPr>
        <i/>
        <sz val="10"/>
        <rFont val="Arial"/>
        <family val="2"/>
      </rPr>
      <t>B</t>
    </r>
    <r>
      <rPr>
        <sz val="10"/>
        <rFont val="Arial"/>
        <family val="0"/>
      </rPr>
      <t xml:space="preserve"> for </t>
    </r>
    <r>
      <rPr>
        <i/>
        <sz val="10"/>
        <rFont val="Arial"/>
        <family val="2"/>
      </rPr>
      <t>d</t>
    </r>
    <r>
      <rPr>
        <i/>
        <vertAlign val="subscript"/>
        <sz val="10"/>
        <rFont val="Arial"/>
        <family val="2"/>
      </rPr>
      <t>F</t>
    </r>
    <r>
      <rPr>
        <sz val="10"/>
        <rFont val="Arial"/>
        <family val="0"/>
      </rPr>
      <t>/</t>
    </r>
    <r>
      <rPr>
        <i/>
        <sz val="10"/>
        <rFont val="Arial"/>
        <family val="2"/>
      </rPr>
      <t>B</t>
    </r>
    <r>
      <rPr>
        <sz val="10"/>
        <rFont val="Arial"/>
        <family val="0"/>
      </rPr>
      <t xml:space="preserve"> &lt; 2.5 else equal to 1.5</t>
    </r>
  </si>
  <si>
    <t>Diameter of a round footing or side length of a square footing</t>
  </si>
  <si>
    <t>Foundation or footing depth</t>
  </si>
  <si>
    <t>Distance between soil surface and top of the water table</t>
  </si>
  <si>
    <t>Average moist unit weight of soil above the footing</t>
  </si>
  <si>
    <t>Correction factor for effect of ground water location on the ultimate bearing strength of cohesionless soils</t>
  </si>
  <si>
    <r>
      <t>q</t>
    </r>
    <r>
      <rPr>
        <i/>
        <vertAlign val="subscript"/>
        <sz val="10"/>
        <rFont val="Arial"/>
        <family val="2"/>
      </rPr>
      <t>B</t>
    </r>
    <r>
      <rPr>
        <i/>
        <sz val="10"/>
        <rFont val="Arial"/>
        <family val="2"/>
      </rPr>
      <t xml:space="preserve"> </t>
    </r>
  </si>
  <si>
    <t>Ultimate bearing capacity</t>
  </si>
  <si>
    <r>
      <t>S</t>
    </r>
    <r>
      <rPr>
        <i/>
        <vertAlign val="subscript"/>
        <sz val="10"/>
        <rFont val="Arial"/>
        <family val="2"/>
      </rPr>
      <t>U</t>
    </r>
    <r>
      <rPr>
        <i/>
        <sz val="10"/>
        <rFont val="Arial"/>
        <family val="2"/>
      </rPr>
      <t>N</t>
    </r>
    <r>
      <rPr>
        <i/>
        <vertAlign val="subscript"/>
        <sz val="10"/>
        <rFont val="Arial"/>
        <family val="2"/>
      </rPr>
      <t>C</t>
    </r>
    <r>
      <rPr>
        <i/>
        <sz val="10"/>
        <rFont val="Arial"/>
        <family val="2"/>
      </rPr>
      <t>d</t>
    </r>
    <r>
      <rPr>
        <i/>
        <vertAlign val="subscript"/>
        <sz val="10"/>
        <rFont val="Arial"/>
        <family val="2"/>
      </rPr>
      <t>C</t>
    </r>
    <r>
      <rPr>
        <i/>
        <sz val="10"/>
        <rFont val="Arial"/>
        <family val="2"/>
      </rPr>
      <t>s</t>
    </r>
    <r>
      <rPr>
        <i/>
        <vertAlign val="subscript"/>
        <sz val="10"/>
        <rFont val="Arial"/>
        <family val="2"/>
      </rPr>
      <t>C</t>
    </r>
    <r>
      <rPr>
        <i/>
        <sz val="10"/>
        <rFont val="Arial"/>
        <family val="2"/>
      </rPr>
      <t xml:space="preserve"> </t>
    </r>
    <r>
      <rPr>
        <sz val="10"/>
        <rFont val="Arial"/>
        <family val="0"/>
      </rPr>
      <t xml:space="preserve">+ </t>
    </r>
    <r>
      <rPr>
        <i/>
        <sz val="10"/>
        <rFont val="Arial"/>
        <family val="2"/>
      </rPr>
      <t>q</t>
    </r>
    <r>
      <rPr>
        <i/>
        <vertAlign val="subscript"/>
        <sz val="10"/>
        <rFont val="Arial"/>
        <family val="2"/>
      </rPr>
      <t>0</t>
    </r>
  </si>
  <si>
    <t>Bearing capacity factor that accounts for cohesion in the general bearing capacity equation</t>
  </si>
  <si>
    <r>
      <t xml:space="preserve">5.14 for </t>
    </r>
    <r>
      <rPr>
        <sz val="10"/>
        <rFont val="Symbol"/>
        <family val="1"/>
      </rPr>
      <t>f</t>
    </r>
    <r>
      <rPr>
        <sz val="10"/>
        <rFont val="Arial"/>
        <family val="2"/>
      </rPr>
      <t xml:space="preserve"> = 0</t>
    </r>
  </si>
  <si>
    <t>Shape factor for ultimate bearing strength of a cohesive soil based on the general bearing capacity equation</t>
  </si>
  <si>
    <t>1.2 for square and round footings</t>
  </si>
  <si>
    <r>
      <t>lbf/in.</t>
    </r>
    <r>
      <rPr>
        <vertAlign val="superscript"/>
        <sz val="10"/>
        <rFont val="Arial"/>
        <family val="2"/>
      </rPr>
      <t>2</t>
    </r>
  </si>
  <si>
    <r>
      <t>0.5</t>
    </r>
    <r>
      <rPr>
        <i/>
        <sz val="10"/>
        <rFont val="Symbol"/>
        <family val="1"/>
      </rPr>
      <t>g</t>
    </r>
    <r>
      <rPr>
        <i/>
        <sz val="10"/>
        <rFont val="Arial"/>
        <family val="2"/>
      </rPr>
      <t>BC</t>
    </r>
    <r>
      <rPr>
        <i/>
        <vertAlign val="subscript"/>
        <sz val="10"/>
        <rFont val="Arial"/>
        <family val="2"/>
      </rPr>
      <t>W1</t>
    </r>
    <r>
      <rPr>
        <i/>
        <sz val="10"/>
        <rFont val="Arial"/>
        <family val="2"/>
      </rPr>
      <t>N</t>
    </r>
    <r>
      <rPr>
        <i/>
        <vertAlign val="subscript"/>
        <sz val="10"/>
        <rFont val="Symbol"/>
        <family val="1"/>
      </rPr>
      <t>g</t>
    </r>
    <r>
      <rPr>
        <i/>
        <sz val="10"/>
        <rFont val="Arial"/>
        <family val="2"/>
      </rPr>
      <t>s</t>
    </r>
    <r>
      <rPr>
        <i/>
        <vertAlign val="subscript"/>
        <sz val="10"/>
        <rFont val="Symbol"/>
        <family val="1"/>
      </rPr>
      <t>g</t>
    </r>
    <r>
      <rPr>
        <i/>
        <sz val="10"/>
        <rFont val="Arial"/>
        <family val="2"/>
      </rPr>
      <t xml:space="preserve"> + q</t>
    </r>
    <r>
      <rPr>
        <i/>
        <vertAlign val="subscript"/>
        <sz val="10"/>
        <rFont val="Arial"/>
        <family val="2"/>
      </rPr>
      <t>0</t>
    </r>
    <r>
      <rPr>
        <i/>
        <sz val="10"/>
        <rFont val="Arial"/>
        <family val="2"/>
      </rPr>
      <t>C</t>
    </r>
    <r>
      <rPr>
        <i/>
        <vertAlign val="subscript"/>
        <sz val="10"/>
        <rFont val="Arial"/>
        <family val="2"/>
      </rPr>
      <t>W2</t>
    </r>
    <r>
      <rPr>
        <i/>
        <sz val="10"/>
        <rFont val="Arial"/>
        <family val="2"/>
      </rPr>
      <t>N</t>
    </r>
    <r>
      <rPr>
        <i/>
        <vertAlign val="subscript"/>
        <sz val="10"/>
        <rFont val="Arial"/>
        <family val="2"/>
      </rPr>
      <t>q</t>
    </r>
    <r>
      <rPr>
        <i/>
        <sz val="10"/>
        <rFont val="Arial"/>
        <family val="2"/>
      </rPr>
      <t>d</t>
    </r>
    <r>
      <rPr>
        <i/>
        <vertAlign val="subscript"/>
        <sz val="10"/>
        <rFont val="Arial"/>
        <family val="2"/>
      </rPr>
      <t>q</t>
    </r>
    <r>
      <rPr>
        <i/>
        <sz val="10"/>
        <rFont val="Arial"/>
        <family val="2"/>
      </rPr>
      <t>s</t>
    </r>
    <r>
      <rPr>
        <i/>
        <vertAlign val="subscript"/>
        <sz val="10"/>
        <rFont val="Arial"/>
        <family val="2"/>
      </rPr>
      <t>q</t>
    </r>
  </si>
  <si>
    <r>
      <t>B</t>
    </r>
    <r>
      <rPr>
        <sz val="10"/>
        <rFont val="Arial"/>
        <family val="2"/>
      </rPr>
      <t>earing capacity factor that accounts for soil unit weight in the general bearing capacity equation</t>
    </r>
  </si>
  <si>
    <t>Bearing capacity factor that accounts for surcharge pressures in the general bearing capacity equation</t>
  </si>
  <si>
    <t>Shape factor for ultimate bearing strength of a cohesionless soil based on the general bearing capacity equation</t>
  </si>
  <si>
    <r>
      <t>exp (</t>
    </r>
    <r>
      <rPr>
        <sz val="10"/>
        <rFont val="Symbol"/>
        <family val="1"/>
      </rPr>
      <t xml:space="preserve">p </t>
    </r>
    <r>
      <rPr>
        <sz val="10"/>
        <rFont val="Arial"/>
        <family val="0"/>
      </rPr>
      <t>tan</t>
    </r>
    <r>
      <rPr>
        <i/>
        <sz val="10"/>
        <rFont val="Symbol"/>
        <family val="1"/>
      </rPr>
      <t>f</t>
    </r>
    <r>
      <rPr>
        <sz val="10"/>
        <rFont val="Arial"/>
        <family val="0"/>
      </rPr>
      <t>) tan</t>
    </r>
    <r>
      <rPr>
        <vertAlign val="superscript"/>
        <sz val="10"/>
        <rFont val="Arial"/>
        <family val="2"/>
      </rPr>
      <t>2</t>
    </r>
    <r>
      <rPr>
        <sz val="10"/>
        <rFont val="Arial"/>
        <family val="0"/>
      </rPr>
      <t>(45+</t>
    </r>
    <r>
      <rPr>
        <i/>
        <sz val="10"/>
        <rFont val="Symbol"/>
        <family val="1"/>
      </rPr>
      <t>f</t>
    </r>
    <r>
      <rPr>
        <sz val="10"/>
        <rFont val="Arial"/>
        <family val="0"/>
      </rPr>
      <t>/2)</t>
    </r>
  </si>
  <si>
    <r>
      <t>2 (</t>
    </r>
    <r>
      <rPr>
        <i/>
        <sz val="10"/>
        <rFont val="Arial"/>
        <family val="2"/>
      </rPr>
      <t>N</t>
    </r>
    <r>
      <rPr>
        <i/>
        <vertAlign val="subscript"/>
        <sz val="10"/>
        <rFont val="Arial"/>
        <family val="2"/>
      </rPr>
      <t>q</t>
    </r>
    <r>
      <rPr>
        <sz val="10"/>
        <rFont val="Arial"/>
        <family val="0"/>
      </rPr>
      <t xml:space="preserve"> +1) tan</t>
    </r>
    <r>
      <rPr>
        <i/>
        <sz val="10"/>
        <rFont val="Arial"/>
        <family val="0"/>
      </rPr>
      <t xml:space="preserve"> </t>
    </r>
    <r>
      <rPr>
        <i/>
        <sz val="10"/>
        <rFont val="Symbol"/>
        <family val="1"/>
      </rPr>
      <t>f</t>
    </r>
  </si>
  <si>
    <t>0.6 for square and round footings</t>
  </si>
  <si>
    <t>Depth factor for ultimate bearing strength of a cohesionless soil based on the general bearing capacity equation</t>
  </si>
  <si>
    <r>
      <t>1 + tan</t>
    </r>
    <r>
      <rPr>
        <i/>
        <sz val="10"/>
        <rFont val="Symbol"/>
        <family val="1"/>
      </rPr>
      <t xml:space="preserve"> f </t>
    </r>
    <r>
      <rPr>
        <sz val="10"/>
        <rFont val="Arial"/>
        <family val="0"/>
      </rPr>
      <t>for square and round footings</t>
    </r>
  </si>
  <si>
    <r>
      <t>1 + 2 tan</t>
    </r>
    <r>
      <rPr>
        <i/>
        <sz val="10"/>
        <rFont val="Symbol"/>
        <family val="1"/>
      </rPr>
      <t xml:space="preserve"> f </t>
    </r>
    <r>
      <rPr>
        <sz val="10"/>
        <rFont val="Arial"/>
        <family val="0"/>
      </rPr>
      <t>(1-sin</t>
    </r>
    <r>
      <rPr>
        <i/>
        <sz val="10"/>
        <rFont val="Symbol"/>
        <family val="1"/>
      </rPr>
      <t>f</t>
    </r>
    <r>
      <rPr>
        <sz val="10"/>
        <rFont val="Arial"/>
        <family val="0"/>
      </rPr>
      <t>)</t>
    </r>
    <r>
      <rPr>
        <vertAlign val="superscript"/>
        <sz val="10"/>
        <rFont val="Arial"/>
        <family val="2"/>
      </rPr>
      <t>2</t>
    </r>
    <r>
      <rPr>
        <sz val="10"/>
        <rFont val="Arial"/>
        <family val="0"/>
      </rPr>
      <t xml:space="preserve"> tan</t>
    </r>
    <r>
      <rPr>
        <vertAlign val="superscript"/>
        <sz val="10"/>
        <rFont val="Arial"/>
        <family val="2"/>
      </rPr>
      <t>-1</t>
    </r>
    <r>
      <rPr>
        <sz val="10"/>
        <rFont val="Arial"/>
        <family val="0"/>
      </rPr>
      <t>(d</t>
    </r>
    <r>
      <rPr>
        <vertAlign val="subscript"/>
        <sz val="10"/>
        <rFont val="Arial"/>
        <family val="2"/>
      </rPr>
      <t>F</t>
    </r>
    <r>
      <rPr>
        <sz val="10"/>
        <rFont val="Arial"/>
        <family val="0"/>
      </rPr>
      <t>/B)</t>
    </r>
  </si>
  <si>
    <r>
      <t>N</t>
    </r>
    <r>
      <rPr>
        <i/>
        <vertAlign val="subscript"/>
        <sz val="10"/>
        <rFont val="Arial"/>
        <family val="2"/>
      </rPr>
      <t>60</t>
    </r>
    <r>
      <rPr>
        <vertAlign val="subscript"/>
        <sz val="10"/>
        <rFont val="Arial"/>
        <family val="2"/>
      </rPr>
      <t xml:space="preserve"> </t>
    </r>
    <r>
      <rPr>
        <sz val="10"/>
        <rFont val="Arial"/>
        <family val="0"/>
      </rPr>
      <t>(</t>
    </r>
    <r>
      <rPr>
        <i/>
        <sz val="10"/>
        <rFont val="Arial"/>
        <family val="2"/>
      </rPr>
      <t>p</t>
    </r>
    <r>
      <rPr>
        <i/>
        <vertAlign val="subscript"/>
        <sz val="10"/>
        <rFont val="Arial"/>
        <family val="2"/>
      </rPr>
      <t>A</t>
    </r>
    <r>
      <rPr>
        <sz val="10"/>
        <rFont val="Arial"/>
        <family val="0"/>
      </rPr>
      <t>/</t>
    </r>
    <r>
      <rPr>
        <i/>
        <sz val="10"/>
        <rFont val="Symbol"/>
        <family val="1"/>
      </rPr>
      <t>s</t>
    </r>
    <r>
      <rPr>
        <i/>
        <sz val="10"/>
        <rFont val="Arial"/>
        <family val="0"/>
      </rPr>
      <t>'</t>
    </r>
    <r>
      <rPr>
        <i/>
        <vertAlign val="subscript"/>
        <sz val="10"/>
        <rFont val="Arial"/>
        <family val="2"/>
      </rPr>
      <t>v</t>
    </r>
    <r>
      <rPr>
        <sz val="10"/>
        <rFont val="Arial"/>
        <family val="0"/>
      </rPr>
      <t>)</t>
    </r>
    <r>
      <rPr>
        <vertAlign val="superscript"/>
        <sz val="10"/>
        <rFont val="Arial"/>
        <family val="2"/>
      </rPr>
      <t>0.5</t>
    </r>
  </si>
  <si>
    <t>Atmospheric pressure</t>
  </si>
  <si>
    <r>
      <t>N</t>
    </r>
    <r>
      <rPr>
        <i/>
        <vertAlign val="subscript"/>
        <sz val="10"/>
        <rFont val="Arial"/>
        <family val="2"/>
      </rPr>
      <t>60</t>
    </r>
    <r>
      <rPr>
        <sz val="10"/>
        <rFont val="Arial"/>
        <family val="2"/>
      </rPr>
      <t xml:space="preserve"> blow count normalized with respect to vertical effective stress</t>
    </r>
  </si>
  <si>
    <r>
      <t>N</t>
    </r>
    <r>
      <rPr>
        <i/>
        <vertAlign val="subscript"/>
        <sz val="10"/>
        <rFont val="Arial"/>
        <family val="2"/>
      </rPr>
      <t>SPT</t>
    </r>
    <r>
      <rPr>
        <sz val="10"/>
        <rFont val="Arial"/>
        <family val="2"/>
      </rPr>
      <t xml:space="preserve"> blow count corrected for field procedures and equipment</t>
    </r>
  </si>
  <si>
    <r>
      <t xml:space="preserve">Soil friction angle for soil located between </t>
    </r>
    <r>
      <rPr>
        <i/>
        <sz val="10"/>
        <rFont val="Arial"/>
        <family val="2"/>
      </rPr>
      <t>d</t>
    </r>
    <r>
      <rPr>
        <i/>
        <vertAlign val="subscript"/>
        <sz val="10"/>
        <rFont val="Arial"/>
        <family val="2"/>
      </rPr>
      <t>F</t>
    </r>
    <r>
      <rPr>
        <sz val="10"/>
        <rFont val="Arial"/>
        <family val="2"/>
      </rPr>
      <t xml:space="preserve"> and (</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2"/>
      </rPr>
      <t>)</t>
    </r>
  </si>
  <si>
    <r>
      <t xml:space="preserve">Undrained shear strength for soil located between </t>
    </r>
    <r>
      <rPr>
        <i/>
        <sz val="10"/>
        <rFont val="Arial"/>
        <family val="2"/>
      </rPr>
      <t>d</t>
    </r>
    <r>
      <rPr>
        <i/>
        <vertAlign val="subscript"/>
        <sz val="10"/>
        <rFont val="Arial"/>
        <family val="2"/>
      </rPr>
      <t>F</t>
    </r>
    <r>
      <rPr>
        <sz val="10"/>
        <rFont val="Arial"/>
        <family val="2"/>
      </rPr>
      <t xml:space="preserve"> and (</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2"/>
      </rPr>
      <t xml:space="preserve">). Numerically equal to cohesion, </t>
    </r>
    <r>
      <rPr>
        <i/>
        <sz val="10"/>
        <rFont val="Arial"/>
        <family val="2"/>
      </rPr>
      <t>c,</t>
    </r>
    <r>
      <rPr>
        <sz val="10"/>
        <rFont val="Arial"/>
        <family val="2"/>
      </rPr>
      <t xml:space="preserve"> for a saturated clay soil</t>
    </r>
  </si>
  <si>
    <r>
      <t>s</t>
    </r>
    <r>
      <rPr>
        <i/>
        <sz val="10"/>
        <rFont val="Arial"/>
        <family val="2"/>
      </rPr>
      <t>'</t>
    </r>
    <r>
      <rPr>
        <i/>
        <vertAlign val="subscript"/>
        <sz val="10"/>
        <rFont val="Arial"/>
        <family val="2"/>
      </rPr>
      <t>v</t>
    </r>
  </si>
  <si>
    <t>Effective vertical stress at depth where sample was recovered</t>
  </si>
  <si>
    <r>
      <t>d</t>
    </r>
    <r>
      <rPr>
        <i/>
        <vertAlign val="subscript"/>
        <sz val="10"/>
        <rFont val="Arial"/>
        <family val="2"/>
      </rPr>
      <t>S</t>
    </r>
  </si>
  <si>
    <r>
      <t xml:space="preserve">SPT blow count as recorded during test.  Should be taken between </t>
    </r>
    <r>
      <rPr>
        <i/>
        <sz val="10"/>
        <rFont val="Arial"/>
        <family val="2"/>
      </rPr>
      <t>d</t>
    </r>
    <r>
      <rPr>
        <i/>
        <vertAlign val="subscript"/>
        <sz val="10"/>
        <rFont val="Arial"/>
        <family val="2"/>
      </rPr>
      <t>F</t>
    </r>
    <r>
      <rPr>
        <sz val="10"/>
        <rFont val="Arial"/>
        <family val="2"/>
      </rPr>
      <t xml:space="preserve"> and (</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2"/>
      </rPr>
      <t>)</t>
    </r>
  </si>
  <si>
    <r>
      <t xml:space="preserve">Depth at which SPT count started (should be near </t>
    </r>
    <r>
      <rPr>
        <i/>
        <sz val="10"/>
        <rFont val="Arial"/>
        <family val="2"/>
      </rPr>
      <t>d</t>
    </r>
    <r>
      <rPr>
        <i/>
        <vertAlign val="subscript"/>
        <sz val="10"/>
        <rFont val="Arial"/>
        <family val="2"/>
      </rPr>
      <t>F</t>
    </r>
    <r>
      <rPr>
        <sz val="10"/>
        <rFont val="Arial"/>
        <family val="0"/>
      </rPr>
      <t>)</t>
    </r>
  </si>
  <si>
    <r>
      <t>(N</t>
    </r>
    <r>
      <rPr>
        <i/>
        <vertAlign val="subscript"/>
        <sz val="10"/>
        <rFont val="Arial"/>
        <family val="2"/>
      </rPr>
      <t>1</t>
    </r>
    <r>
      <rPr>
        <i/>
        <sz val="10"/>
        <rFont val="Arial"/>
        <family val="2"/>
      </rPr>
      <t>)</t>
    </r>
    <r>
      <rPr>
        <i/>
        <vertAlign val="subscript"/>
        <sz val="10"/>
        <rFont val="Arial"/>
        <family val="2"/>
      </rPr>
      <t>60</t>
    </r>
    <r>
      <rPr>
        <i/>
        <sz val="10"/>
        <rFont val="Arial"/>
        <family val="2"/>
      </rPr>
      <t>C</t>
    </r>
    <r>
      <rPr>
        <i/>
        <vertAlign val="subscript"/>
        <sz val="10"/>
        <rFont val="Arial"/>
        <family val="2"/>
      </rPr>
      <t>SPT</t>
    </r>
    <r>
      <rPr>
        <i/>
        <sz val="10"/>
        <rFont val="Arial"/>
        <family val="2"/>
      </rPr>
      <t>B</t>
    </r>
    <r>
      <rPr>
        <sz val="10"/>
        <rFont val="Arial"/>
        <family val="2"/>
      </rPr>
      <t>(</t>
    </r>
    <r>
      <rPr>
        <i/>
        <sz val="10"/>
        <rFont val="Arial"/>
        <family val="2"/>
      </rPr>
      <t>C</t>
    </r>
    <r>
      <rPr>
        <i/>
        <vertAlign val="subscript"/>
        <sz val="10"/>
        <rFont val="Arial"/>
        <family val="2"/>
      </rPr>
      <t>W1</t>
    </r>
    <r>
      <rPr>
        <i/>
        <sz val="10"/>
        <rFont val="Arial"/>
        <family val="2"/>
      </rPr>
      <t xml:space="preserve"> + C</t>
    </r>
    <r>
      <rPr>
        <i/>
        <vertAlign val="subscript"/>
        <sz val="10"/>
        <rFont val="Arial"/>
        <family val="2"/>
      </rPr>
      <t>W2</t>
    </r>
    <r>
      <rPr>
        <i/>
        <sz val="10"/>
        <rFont val="Arial"/>
        <family val="2"/>
      </rPr>
      <t>d</t>
    </r>
    <r>
      <rPr>
        <i/>
        <vertAlign val="subscript"/>
        <sz val="10"/>
        <rFont val="Arial"/>
        <family val="2"/>
      </rPr>
      <t>F</t>
    </r>
    <r>
      <rPr>
        <i/>
        <sz val="10"/>
        <rFont val="Arial"/>
        <family val="2"/>
      </rPr>
      <t>/B</t>
    </r>
    <r>
      <rPr>
        <sz val="10"/>
        <rFont val="Arial"/>
        <family val="2"/>
      </rPr>
      <t>)</t>
    </r>
  </si>
  <si>
    <t>Constant relating SPT blow counts to bearing resistance</t>
  </si>
  <si>
    <r>
      <t>lbf/in.</t>
    </r>
    <r>
      <rPr>
        <vertAlign val="superscript"/>
        <sz val="10"/>
        <rFont val="Arial"/>
        <family val="2"/>
      </rPr>
      <t>3</t>
    </r>
  </si>
  <si>
    <r>
      <t>The SPT blow count, N</t>
    </r>
    <r>
      <rPr>
        <vertAlign val="subscript"/>
        <sz val="10"/>
        <rFont val="Arial"/>
        <family val="2"/>
      </rPr>
      <t>SPT</t>
    </r>
    <r>
      <rPr>
        <sz val="10"/>
        <rFont val="Arial"/>
        <family val="0"/>
      </rPr>
      <t xml:space="preserve"> is determined for clayey soils in accordance with ASTM D1586 and for sandy soils in accordance with ASTM D6066.  The SPT blow count value designated as </t>
    </r>
    <r>
      <rPr>
        <i/>
        <sz val="10"/>
        <rFont val="Arial"/>
        <family val="2"/>
      </rPr>
      <t>N</t>
    </r>
    <r>
      <rPr>
        <i/>
        <vertAlign val="subscript"/>
        <sz val="10"/>
        <rFont val="Arial"/>
        <family val="2"/>
      </rPr>
      <t>60</t>
    </r>
    <r>
      <rPr>
        <i/>
        <sz val="10"/>
        <rFont val="Arial"/>
        <family val="2"/>
      </rPr>
      <t xml:space="preserve"> </t>
    </r>
    <r>
      <rPr>
        <sz val="10"/>
        <rFont val="Arial"/>
        <family val="0"/>
      </rPr>
      <t xml:space="preserve">is obtained by multiplying </t>
    </r>
    <r>
      <rPr>
        <i/>
        <sz val="10"/>
        <rFont val="Arial"/>
        <family val="2"/>
      </rPr>
      <t>N</t>
    </r>
    <r>
      <rPr>
        <i/>
        <vertAlign val="subscript"/>
        <sz val="10"/>
        <rFont val="Arial"/>
        <family val="2"/>
      </rPr>
      <t>SPT</t>
    </r>
    <r>
      <rPr>
        <sz val="10"/>
        <rFont val="Arial"/>
        <family val="0"/>
      </rPr>
      <t xml:space="preserve"> (i.e., the raw SPT blow count recorded in the field) by factors that adjust for hammer efficiency, sample barrel size, borehole diameter and rod length.  The symbol</t>
    </r>
    <r>
      <rPr>
        <i/>
        <sz val="10"/>
        <rFont val="Arial"/>
        <family val="2"/>
      </rPr>
      <t xml:space="preserve"> (N</t>
    </r>
    <r>
      <rPr>
        <i/>
        <vertAlign val="subscript"/>
        <sz val="10"/>
        <rFont val="Arial"/>
        <family val="2"/>
      </rPr>
      <t>1</t>
    </r>
    <r>
      <rPr>
        <i/>
        <sz val="10"/>
        <rFont val="Arial"/>
        <family val="2"/>
      </rPr>
      <t>)</t>
    </r>
    <r>
      <rPr>
        <i/>
        <vertAlign val="subscript"/>
        <sz val="10"/>
        <rFont val="Arial"/>
        <family val="2"/>
      </rPr>
      <t>60</t>
    </r>
    <r>
      <rPr>
        <sz val="10"/>
        <rFont val="Arial"/>
        <family val="0"/>
      </rPr>
      <t xml:space="preserve"> is used to identify an N</t>
    </r>
    <r>
      <rPr>
        <vertAlign val="subscript"/>
        <sz val="10"/>
        <rFont val="Arial"/>
        <family val="2"/>
      </rPr>
      <t>60</t>
    </r>
    <r>
      <rPr>
        <sz val="10"/>
        <rFont val="Arial"/>
        <family val="0"/>
      </rPr>
      <t xml:space="preserve">, value that has been further adjusted to account for overburden pressure. The overburden correction factor is from Liao and Whitman (1986). A detailed discussion of how to calculate </t>
    </r>
    <r>
      <rPr>
        <i/>
        <sz val="10"/>
        <rFont val="Arial"/>
        <family val="2"/>
      </rPr>
      <t>(N</t>
    </r>
    <r>
      <rPr>
        <i/>
        <vertAlign val="subscript"/>
        <sz val="10"/>
        <rFont val="Arial"/>
        <family val="2"/>
      </rPr>
      <t>1</t>
    </r>
    <r>
      <rPr>
        <i/>
        <sz val="10"/>
        <rFont val="Arial"/>
        <family val="2"/>
      </rPr>
      <t>)</t>
    </r>
    <r>
      <rPr>
        <i/>
        <vertAlign val="subscript"/>
        <sz val="10"/>
        <rFont val="Arial"/>
        <family val="2"/>
      </rPr>
      <t>60</t>
    </r>
    <r>
      <rPr>
        <sz val="10"/>
        <rFont val="Arial"/>
        <family val="0"/>
      </rPr>
      <t>, including correction factor values was published by the NCEER (1997).</t>
    </r>
  </si>
  <si>
    <r>
      <t>C</t>
    </r>
    <r>
      <rPr>
        <i/>
        <vertAlign val="subscript"/>
        <sz val="10"/>
        <rFont val="Arial"/>
        <family val="2"/>
      </rPr>
      <t>CPT1</t>
    </r>
  </si>
  <si>
    <t>Constant relating CPT blow counts to bearing resistance</t>
  </si>
  <si>
    <r>
      <t>C</t>
    </r>
    <r>
      <rPr>
        <i/>
        <vertAlign val="subscript"/>
        <sz val="10"/>
        <rFont val="Arial"/>
        <family val="2"/>
      </rPr>
      <t>CPT1</t>
    </r>
    <r>
      <rPr>
        <sz val="10"/>
        <rFont val="Arial"/>
        <family val="2"/>
      </rPr>
      <t xml:space="preserve"> +</t>
    </r>
    <r>
      <rPr>
        <i/>
        <sz val="10"/>
        <rFont val="Arial"/>
        <family val="2"/>
      </rPr>
      <t xml:space="preserve"> q</t>
    </r>
    <r>
      <rPr>
        <i/>
        <vertAlign val="subscript"/>
        <sz val="10"/>
        <rFont val="Arial"/>
        <family val="2"/>
      </rPr>
      <t>cr</t>
    </r>
    <r>
      <rPr>
        <sz val="10"/>
        <rFont val="Arial"/>
        <family val="2"/>
      </rPr>
      <t>/3</t>
    </r>
  </si>
  <si>
    <r>
      <t>C</t>
    </r>
    <r>
      <rPr>
        <i/>
        <vertAlign val="subscript"/>
        <sz val="10"/>
        <rFont val="Arial"/>
        <family val="2"/>
      </rPr>
      <t>CPT2</t>
    </r>
  </si>
  <si>
    <r>
      <t xml:space="preserve">Average cone penetration resistance within a depth </t>
    </r>
    <r>
      <rPr>
        <i/>
        <sz val="10"/>
        <rFont val="Arial"/>
        <family val="2"/>
      </rPr>
      <t>B</t>
    </r>
    <r>
      <rPr>
        <sz val="10"/>
        <rFont val="Arial"/>
        <family val="2"/>
      </rPr>
      <t xml:space="preserve"> below the bottom of the footing. Cone penetration resistance is equal to the vertical force applied to the cone divided by its horizontally projected area</t>
    </r>
  </si>
  <si>
    <r>
      <t>q</t>
    </r>
    <r>
      <rPr>
        <i/>
        <vertAlign val="subscript"/>
        <sz val="10"/>
        <rFont val="Arial"/>
        <family val="2"/>
      </rPr>
      <t>cr</t>
    </r>
    <r>
      <rPr>
        <i/>
        <sz val="10"/>
        <rFont val="Arial"/>
        <family val="2"/>
      </rPr>
      <t>B</t>
    </r>
    <r>
      <rPr>
        <sz val="10"/>
        <rFont val="Arial"/>
        <family val="2"/>
      </rPr>
      <t>(</t>
    </r>
    <r>
      <rPr>
        <i/>
        <sz val="10"/>
        <rFont val="Arial"/>
        <family val="2"/>
      </rPr>
      <t>C</t>
    </r>
    <r>
      <rPr>
        <i/>
        <vertAlign val="subscript"/>
        <sz val="10"/>
        <rFont val="Arial"/>
        <family val="2"/>
      </rPr>
      <t>W1</t>
    </r>
    <r>
      <rPr>
        <i/>
        <sz val="10"/>
        <rFont val="Arial"/>
        <family val="2"/>
      </rPr>
      <t xml:space="preserve"> +C</t>
    </r>
    <r>
      <rPr>
        <i/>
        <vertAlign val="subscript"/>
        <sz val="10"/>
        <rFont val="Arial"/>
        <family val="2"/>
      </rPr>
      <t>W2</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2"/>
      </rPr>
      <t>)/</t>
    </r>
    <r>
      <rPr>
        <i/>
        <sz val="10"/>
        <rFont val="Arial"/>
        <family val="2"/>
      </rPr>
      <t>C</t>
    </r>
    <r>
      <rPr>
        <i/>
        <vertAlign val="subscript"/>
        <sz val="10"/>
        <rFont val="Arial"/>
        <family val="2"/>
      </rPr>
      <t>CPT2</t>
    </r>
  </si>
  <si>
    <t>Taken from Soil Profile worksheet</t>
  </si>
  <si>
    <r>
      <t>q</t>
    </r>
    <r>
      <rPr>
        <i/>
        <vertAlign val="subscript"/>
        <sz val="10"/>
        <rFont val="Arial"/>
        <family val="2"/>
      </rPr>
      <t>0</t>
    </r>
    <r>
      <rPr>
        <sz val="10"/>
        <rFont val="Arial"/>
        <family val="2"/>
      </rPr>
      <t>/</t>
    </r>
    <r>
      <rPr>
        <i/>
        <sz val="10"/>
        <rFont val="Arial"/>
        <family val="2"/>
      </rPr>
      <t>d</t>
    </r>
    <r>
      <rPr>
        <i/>
        <vertAlign val="subscript"/>
        <sz val="10"/>
        <rFont val="Arial"/>
        <family val="2"/>
      </rPr>
      <t>F</t>
    </r>
  </si>
  <si>
    <t>Distance from soil surface to top of foundation uplift resisting system</t>
  </si>
  <si>
    <t>Required and Allowed Ultimate Forces</t>
  </si>
  <si>
    <t>Foundation Rotation Direction</t>
  </si>
  <si>
    <r>
      <t>f</t>
    </r>
    <r>
      <rPr>
        <i/>
        <vertAlign val="subscript"/>
        <sz val="10"/>
        <rFont val="Arial"/>
        <family val="2"/>
      </rPr>
      <t>L</t>
    </r>
    <r>
      <rPr>
        <i/>
        <sz val="6"/>
        <rFont val="Arial"/>
        <family val="2"/>
      </rPr>
      <t xml:space="preserve"> </t>
    </r>
    <r>
      <rPr>
        <i/>
        <sz val="10"/>
        <rFont val="Arial"/>
        <family val="2"/>
      </rPr>
      <t>M</t>
    </r>
    <r>
      <rPr>
        <i/>
        <vertAlign val="subscript"/>
        <sz val="10"/>
        <rFont val="Arial"/>
        <family val="2"/>
      </rPr>
      <t>ASD</t>
    </r>
    <r>
      <rPr>
        <i/>
        <sz val="6"/>
        <rFont val="Arial"/>
        <family val="2"/>
      </rPr>
      <t xml:space="preserve"> </t>
    </r>
    <r>
      <rPr>
        <sz val="10"/>
        <rFont val="Arial"/>
        <family val="2"/>
      </rPr>
      <t>or</t>
    </r>
    <r>
      <rPr>
        <sz val="6"/>
        <rFont val="Arial"/>
        <family val="2"/>
      </rPr>
      <t xml:space="preserve"> </t>
    </r>
    <r>
      <rPr>
        <i/>
        <sz val="10"/>
        <rFont val="Arial"/>
        <family val="2"/>
      </rPr>
      <t>M</t>
    </r>
    <r>
      <rPr>
        <i/>
        <vertAlign val="subscript"/>
        <sz val="10"/>
        <rFont val="Arial"/>
        <family val="2"/>
      </rPr>
      <t>LRFD</t>
    </r>
    <r>
      <rPr>
        <sz val="10"/>
        <rFont val="Arial"/>
        <family val="2"/>
      </rPr>
      <t>/</t>
    </r>
    <r>
      <rPr>
        <i/>
        <sz val="10"/>
        <rFont val="Arial"/>
        <family val="2"/>
      </rPr>
      <t>R</t>
    </r>
    <r>
      <rPr>
        <i/>
        <vertAlign val="subscript"/>
        <sz val="10"/>
        <rFont val="Arial"/>
        <family val="2"/>
      </rPr>
      <t>L</t>
    </r>
  </si>
  <si>
    <r>
      <t>f</t>
    </r>
    <r>
      <rPr>
        <i/>
        <vertAlign val="subscript"/>
        <sz val="10"/>
        <rFont val="Arial"/>
        <family val="2"/>
      </rPr>
      <t>L</t>
    </r>
    <r>
      <rPr>
        <i/>
        <sz val="10"/>
        <rFont val="Arial"/>
        <family val="2"/>
      </rPr>
      <t xml:space="preserve"> V</t>
    </r>
    <r>
      <rPr>
        <i/>
        <vertAlign val="subscript"/>
        <sz val="10"/>
        <rFont val="Arial"/>
        <family val="2"/>
      </rPr>
      <t>ASD</t>
    </r>
    <r>
      <rPr>
        <i/>
        <sz val="6"/>
        <rFont val="Arial"/>
        <family val="2"/>
      </rPr>
      <t xml:space="preserve"> </t>
    </r>
    <r>
      <rPr>
        <sz val="10"/>
        <rFont val="Arial"/>
        <family val="2"/>
      </rPr>
      <t>or</t>
    </r>
    <r>
      <rPr>
        <sz val="6"/>
        <rFont val="Arial"/>
        <family val="2"/>
      </rPr>
      <t xml:space="preserve"> </t>
    </r>
    <r>
      <rPr>
        <i/>
        <sz val="10"/>
        <rFont val="Arial"/>
        <family val="2"/>
      </rPr>
      <t>V</t>
    </r>
    <r>
      <rPr>
        <i/>
        <vertAlign val="subscript"/>
        <sz val="10"/>
        <rFont val="Arial"/>
        <family val="2"/>
      </rPr>
      <t>LRFD</t>
    </r>
    <r>
      <rPr>
        <sz val="10"/>
        <rFont val="Arial"/>
        <family val="2"/>
      </rPr>
      <t>/</t>
    </r>
    <r>
      <rPr>
        <i/>
        <sz val="10"/>
        <rFont val="Arial"/>
        <family val="2"/>
      </rPr>
      <t>R</t>
    </r>
    <r>
      <rPr>
        <i/>
        <vertAlign val="subscript"/>
        <sz val="10"/>
        <rFont val="Arial"/>
        <family val="2"/>
      </rPr>
      <t>L</t>
    </r>
  </si>
  <si>
    <r>
      <t xml:space="preserve">Goundline Bending Moment, </t>
    </r>
    <r>
      <rPr>
        <i/>
        <sz val="10"/>
        <rFont val="Arial"/>
        <family val="2"/>
      </rPr>
      <t>M</t>
    </r>
    <r>
      <rPr>
        <i/>
        <vertAlign val="subscript"/>
        <sz val="10"/>
        <rFont val="Arial"/>
        <family val="2"/>
      </rPr>
      <t>ASD</t>
    </r>
  </si>
  <si>
    <r>
      <t xml:space="preserve">Groundline Shear, </t>
    </r>
    <r>
      <rPr>
        <i/>
        <sz val="10"/>
        <rFont val="Arial"/>
        <family val="2"/>
      </rPr>
      <t>V</t>
    </r>
    <r>
      <rPr>
        <i/>
        <vertAlign val="subscript"/>
        <sz val="10"/>
        <rFont val="Arial"/>
        <family val="2"/>
      </rPr>
      <t>ASD</t>
    </r>
  </si>
  <si>
    <r>
      <t xml:space="preserve">Factor of Safety, </t>
    </r>
    <r>
      <rPr>
        <i/>
        <sz val="10"/>
        <rFont val="Arial"/>
        <family val="2"/>
      </rPr>
      <t>f</t>
    </r>
    <r>
      <rPr>
        <i/>
        <vertAlign val="subscript"/>
        <sz val="10"/>
        <rFont val="Arial"/>
        <family val="2"/>
      </rPr>
      <t>L</t>
    </r>
  </si>
  <si>
    <r>
      <t xml:space="preserve">Goundline Bending Moment, </t>
    </r>
    <r>
      <rPr>
        <i/>
        <sz val="10"/>
        <rFont val="Arial"/>
        <family val="2"/>
      </rPr>
      <t>M</t>
    </r>
    <r>
      <rPr>
        <i/>
        <vertAlign val="subscript"/>
        <sz val="10"/>
        <rFont val="Arial"/>
        <family val="2"/>
      </rPr>
      <t>LRFD</t>
    </r>
  </si>
  <si>
    <r>
      <t xml:space="preserve">Groundline Shear, </t>
    </r>
    <r>
      <rPr>
        <i/>
        <sz val="10"/>
        <rFont val="Arial"/>
        <family val="2"/>
      </rPr>
      <t>V</t>
    </r>
    <r>
      <rPr>
        <i/>
        <vertAlign val="subscript"/>
        <sz val="10"/>
        <rFont val="Arial"/>
        <family val="2"/>
      </rPr>
      <t>LRFD</t>
    </r>
  </si>
  <si>
    <r>
      <t xml:space="preserve">Resistance Factor, </t>
    </r>
    <r>
      <rPr>
        <i/>
        <sz val="10"/>
        <rFont val="Arial"/>
        <family val="2"/>
      </rPr>
      <t>R</t>
    </r>
    <r>
      <rPr>
        <i/>
        <vertAlign val="subscript"/>
        <sz val="10"/>
        <rFont val="Arial"/>
        <family val="2"/>
      </rPr>
      <t>L</t>
    </r>
  </si>
  <si>
    <t>Groundline Forces Applied to Foundation and Associated Safety Factors</t>
  </si>
  <si>
    <t xml:space="preserve">Enter "0" (zero) values if using LRFD.  </t>
  </si>
  <si>
    <t>Axial uplift force applied to foundation at grade by LRFD load combination</t>
  </si>
  <si>
    <t>Axial uplift force applied to foundation at grade by ASD load combination</t>
  </si>
  <si>
    <t>Diameter of a round uplift resisting system or smaller of the two dimensions characterizing a rectangular uplift resisting system</t>
  </si>
  <si>
    <t>Average moist unit weight of soil above the uplift resisting system</t>
  </si>
  <si>
    <t>Soil friction angle for soil located above the uplift resisting system</t>
  </si>
  <si>
    <t>Cross-sectional area of foundation above uplift resisting system</t>
  </si>
  <si>
    <r>
      <t xml:space="preserve">Total overburden pressure at footing depth </t>
    </r>
    <r>
      <rPr>
        <i/>
        <sz val="10"/>
        <rFont val="Arial"/>
        <family val="2"/>
      </rPr>
      <t>d</t>
    </r>
    <r>
      <rPr>
        <i/>
        <vertAlign val="subscript"/>
        <sz val="10"/>
        <rFont val="Arial"/>
        <family val="2"/>
      </rPr>
      <t>U</t>
    </r>
  </si>
  <si>
    <r>
      <t>q</t>
    </r>
    <r>
      <rPr>
        <i/>
        <vertAlign val="subscript"/>
        <sz val="10"/>
        <rFont val="Arial"/>
        <family val="2"/>
      </rPr>
      <t>0</t>
    </r>
    <r>
      <rPr>
        <sz val="10"/>
        <rFont val="Arial"/>
        <family val="2"/>
      </rPr>
      <t>/</t>
    </r>
    <r>
      <rPr>
        <i/>
        <sz val="10"/>
        <rFont val="Arial"/>
        <family val="2"/>
      </rPr>
      <t>d</t>
    </r>
    <r>
      <rPr>
        <i/>
        <vertAlign val="subscript"/>
        <sz val="10"/>
        <rFont val="Arial"/>
        <family val="2"/>
      </rPr>
      <t>U</t>
    </r>
  </si>
  <si>
    <t>Enter "0" (zero) for round uplift resisting system</t>
  </si>
  <si>
    <r>
      <t>(c)</t>
    </r>
    <r>
      <rPr>
        <sz val="10"/>
        <rFont val="Arial"/>
        <family val="2"/>
      </rPr>
      <t xml:space="preserve"> Based on results from CPT or pressuremeter tests in accordance with ASAE EP486.3 Clauses 11.2.2.1 and 11.2.2.2, respectively</t>
    </r>
  </si>
  <si>
    <r>
      <t xml:space="preserve">Moist unit weight, </t>
    </r>
    <r>
      <rPr>
        <b/>
        <i/>
        <sz val="10"/>
        <rFont val="Symbol"/>
        <family val="1"/>
      </rPr>
      <t>g</t>
    </r>
  </si>
  <si>
    <r>
      <t>Option 1</t>
    </r>
    <r>
      <rPr>
        <b/>
        <vertAlign val="superscript"/>
        <sz val="11"/>
        <rFont val="Arial"/>
        <family val="2"/>
      </rPr>
      <t xml:space="preserve"> (b)</t>
    </r>
  </si>
  <si>
    <r>
      <t xml:space="preserve">Option 2 </t>
    </r>
    <r>
      <rPr>
        <b/>
        <vertAlign val="superscript"/>
        <sz val="11"/>
        <rFont val="Arial"/>
        <family val="2"/>
      </rPr>
      <t>(b)</t>
    </r>
  </si>
  <si>
    <r>
      <t xml:space="preserve">Option 3 </t>
    </r>
    <r>
      <rPr>
        <b/>
        <vertAlign val="superscript"/>
        <sz val="11"/>
        <rFont val="Arial"/>
        <family val="2"/>
      </rPr>
      <t>(b)</t>
    </r>
  </si>
  <si>
    <r>
      <t>Drained soil friction angle,</t>
    </r>
    <r>
      <rPr>
        <b/>
        <i/>
        <sz val="10"/>
        <rFont val="Symbol"/>
        <family val="1"/>
      </rPr>
      <t xml:space="preserve"> f</t>
    </r>
    <r>
      <rPr>
        <b/>
        <i/>
        <sz val="10"/>
        <rFont val="Arial"/>
        <family val="2"/>
      </rPr>
      <t>'</t>
    </r>
  </si>
  <si>
    <r>
      <t>Drained cohesion,</t>
    </r>
    <r>
      <rPr>
        <b/>
        <i/>
        <sz val="10"/>
        <rFont val="Arial"/>
        <family val="2"/>
      </rPr>
      <t xml:space="preserve"> c </t>
    </r>
  </si>
  <si>
    <r>
      <t xml:space="preserve">Undrained soil shear strength, </t>
    </r>
    <r>
      <rPr>
        <b/>
        <i/>
        <sz val="10"/>
        <rFont val="Arial"/>
        <family val="2"/>
      </rPr>
      <t>S</t>
    </r>
    <r>
      <rPr>
        <b/>
        <i/>
        <vertAlign val="subscript"/>
        <sz val="10"/>
        <rFont val="Arial"/>
        <family val="2"/>
      </rPr>
      <t>U</t>
    </r>
  </si>
  <si>
    <t>Layer Number</t>
  </si>
  <si>
    <r>
      <t>Ultimate lateral soil resistance from in-situ tests,</t>
    </r>
    <r>
      <rPr>
        <b/>
        <i/>
        <sz val="10"/>
        <rFont val="Arial"/>
        <family val="2"/>
      </rPr>
      <t xml:space="preserve"> p</t>
    </r>
    <r>
      <rPr>
        <b/>
        <i/>
        <vertAlign val="subscript"/>
        <sz val="10"/>
        <rFont val="Arial"/>
        <family val="2"/>
      </rPr>
      <t>U</t>
    </r>
    <r>
      <rPr>
        <b/>
        <vertAlign val="subscript"/>
        <sz val="10"/>
        <rFont val="Arial"/>
        <family val="2"/>
      </rPr>
      <t xml:space="preserve"> </t>
    </r>
    <r>
      <rPr>
        <b/>
        <vertAlign val="superscript"/>
        <sz val="10"/>
        <rFont val="Arial"/>
        <family val="2"/>
      </rPr>
      <t>(c)</t>
    </r>
  </si>
  <si>
    <r>
      <t xml:space="preserve">(b) </t>
    </r>
    <r>
      <rPr>
        <sz val="10"/>
        <rFont val="Arial"/>
        <family val="2"/>
      </rPr>
      <t xml:space="preserve">Values only need to be entered for the option identified in the table below </t>
    </r>
  </si>
  <si>
    <t>Depth to water table</t>
  </si>
  <si>
    <t>Width of foundation near grade</t>
  </si>
  <si>
    <r>
      <t xml:space="preserve">  Soil Profile (From Ground Surface to 1.5 </t>
    </r>
    <r>
      <rPr>
        <b/>
        <i/>
        <sz val="14"/>
        <color indexed="9"/>
        <rFont val="Arial"/>
        <family val="2"/>
      </rPr>
      <t>B</t>
    </r>
    <r>
      <rPr>
        <b/>
        <sz val="14"/>
        <color indexed="9"/>
        <rFont val="Arial"/>
        <family val="2"/>
      </rPr>
      <t xml:space="preserve"> Below the Footing)</t>
    </r>
    <r>
      <rPr>
        <b/>
        <vertAlign val="superscript"/>
        <sz val="14"/>
        <color indexed="9"/>
        <rFont val="Arial"/>
        <family val="2"/>
      </rPr>
      <t>(a)</t>
    </r>
  </si>
  <si>
    <t>You must fill in all yellow colored cells in the table below (except values only need be entered for one of the three options)</t>
  </si>
  <si>
    <t>Used to calculate effective vertical stress in table below</t>
  </si>
  <si>
    <r>
      <t xml:space="preserve">Used to adjust </t>
    </r>
    <r>
      <rPr>
        <i/>
        <sz val="10"/>
        <rFont val="Arial"/>
        <family val="2"/>
      </rPr>
      <t>c</t>
    </r>
    <r>
      <rPr>
        <sz val="10"/>
        <rFont val="Arial"/>
        <family val="0"/>
      </rPr>
      <t xml:space="preserve"> and</t>
    </r>
    <r>
      <rPr>
        <i/>
        <sz val="10"/>
        <rFont val="Arial"/>
        <family val="2"/>
      </rPr>
      <t xml:space="preserve"> S</t>
    </r>
    <r>
      <rPr>
        <i/>
        <vertAlign val="subscript"/>
        <sz val="10"/>
        <rFont val="Arial"/>
        <family val="2"/>
      </rPr>
      <t>U</t>
    </r>
    <r>
      <rPr>
        <sz val="10"/>
        <rFont val="Arial"/>
        <family val="0"/>
      </rPr>
      <t xml:space="preserve"> for depth in table below</t>
    </r>
  </si>
  <si>
    <t>Option (see above) for calculating ultimate lateral soil resistance</t>
  </si>
  <si>
    <t xml:space="preserve">  Variables Affecting Effective Vertical Soil Stress and Ultimate Lateral Soil Resistance Calculations</t>
  </si>
  <si>
    <r>
      <t xml:space="preserve">  Soil Properties for 1-Inch Thick Layers</t>
    </r>
    <r>
      <rPr>
        <sz val="10"/>
        <color indexed="9"/>
        <rFont val="Arial"/>
        <family val="2"/>
      </rPr>
      <t xml:space="preserve"> </t>
    </r>
  </si>
  <si>
    <t xml:space="preserve">ASAE EP486.3 Table 1 – Presumptive soil properties for post and pier foundation design </t>
  </si>
  <si>
    <r>
      <t xml:space="preserve">Distance to center of layer, </t>
    </r>
    <r>
      <rPr>
        <b/>
        <i/>
        <sz val="10"/>
        <rFont val="Arial"/>
        <family val="2"/>
      </rPr>
      <t>z</t>
    </r>
  </si>
  <si>
    <r>
      <t>Layer thickness,</t>
    </r>
    <r>
      <rPr>
        <b/>
        <i/>
        <sz val="10"/>
        <rFont val="Arial"/>
        <family val="2"/>
      </rPr>
      <t xml:space="preserve"> t</t>
    </r>
  </si>
  <si>
    <r>
      <t>Moist unit weight,</t>
    </r>
    <r>
      <rPr>
        <b/>
        <i/>
        <sz val="10"/>
        <rFont val="Symbol"/>
        <family val="1"/>
      </rPr>
      <t xml:space="preserve"> g</t>
    </r>
  </si>
  <si>
    <r>
      <t xml:space="preserve">Total vertical stress, </t>
    </r>
    <r>
      <rPr>
        <b/>
        <i/>
        <sz val="12"/>
        <rFont val="Symbol"/>
        <family val="1"/>
      </rPr>
      <t>s</t>
    </r>
    <r>
      <rPr>
        <b/>
        <i/>
        <sz val="6"/>
        <rFont val="Arial"/>
        <family val="2"/>
      </rPr>
      <t>V</t>
    </r>
  </si>
  <si>
    <r>
      <t>Effective vertical stress,</t>
    </r>
    <r>
      <rPr>
        <b/>
        <i/>
        <sz val="10"/>
        <rFont val="Arial"/>
        <family val="0"/>
      </rPr>
      <t xml:space="preserve"> </t>
    </r>
    <r>
      <rPr>
        <b/>
        <i/>
        <sz val="12"/>
        <rFont val="Symbol"/>
        <family val="1"/>
      </rPr>
      <t>s</t>
    </r>
    <r>
      <rPr>
        <b/>
        <i/>
        <sz val="10"/>
        <rFont val="Arial"/>
        <family val="0"/>
      </rPr>
      <t>'</t>
    </r>
    <r>
      <rPr>
        <b/>
        <i/>
        <sz val="6"/>
        <rFont val="Arial"/>
        <family val="2"/>
      </rPr>
      <t>V</t>
    </r>
  </si>
  <si>
    <r>
      <t>Drained soil friction angle,</t>
    </r>
    <r>
      <rPr>
        <b/>
        <sz val="10"/>
        <rFont val="Symbol"/>
        <family val="1"/>
      </rPr>
      <t xml:space="preserve"> </t>
    </r>
    <r>
      <rPr>
        <b/>
        <i/>
        <sz val="10"/>
        <rFont val="Symbol"/>
        <family val="1"/>
      </rPr>
      <t>f</t>
    </r>
    <r>
      <rPr>
        <b/>
        <i/>
        <sz val="10"/>
        <rFont val="Arial"/>
        <family val="0"/>
      </rPr>
      <t>'</t>
    </r>
  </si>
  <si>
    <r>
      <t xml:space="preserve">Drained cohesion, </t>
    </r>
    <r>
      <rPr>
        <b/>
        <i/>
        <sz val="10"/>
        <rFont val="Arial"/>
        <family val="2"/>
      </rPr>
      <t>c</t>
    </r>
  </si>
  <si>
    <r>
      <t>p</t>
    </r>
    <r>
      <rPr>
        <b/>
        <i/>
        <vertAlign val="subscript"/>
        <sz val="10"/>
        <rFont val="Arial"/>
        <family val="2"/>
      </rPr>
      <t>U</t>
    </r>
    <r>
      <rPr>
        <b/>
        <sz val="10"/>
        <rFont val="Arial"/>
        <family val="0"/>
      </rPr>
      <t xml:space="preserve"> from in-situ tests</t>
    </r>
  </si>
  <si>
    <r>
      <t xml:space="preserve">Drained cohesion (adjusted for depth), </t>
    </r>
    <r>
      <rPr>
        <b/>
        <i/>
        <sz val="10"/>
        <rFont val="Arial"/>
        <family val="2"/>
      </rPr>
      <t>c</t>
    </r>
  </si>
  <si>
    <t>Enter "0" if cohesionless or mixed soil</t>
  </si>
  <si>
    <t>Enter "0" if a purely cohesive soil</t>
  </si>
  <si>
    <t>No input required for a purely cohesive soil</t>
  </si>
  <si>
    <t>Input Note or Equation/Source</t>
  </si>
  <si>
    <t>Enter "0" for LRFD load combination</t>
  </si>
  <si>
    <t>See table to the right. Enter "0" for LRFD load combination</t>
  </si>
  <si>
    <t>Enter "0" for ASD load combination</t>
  </si>
  <si>
    <t>See table to the right. Enter "0" for ASD load combination</t>
  </si>
  <si>
    <r>
      <t>Coefficient of passive earth pressure,</t>
    </r>
    <r>
      <rPr>
        <b/>
        <i/>
        <sz val="10"/>
        <rFont val="Arial"/>
        <family val="2"/>
      </rPr>
      <t xml:space="preserve"> K</t>
    </r>
    <r>
      <rPr>
        <b/>
        <i/>
        <vertAlign val="subscript"/>
        <sz val="10"/>
        <rFont val="Arial"/>
        <family val="2"/>
      </rPr>
      <t>P</t>
    </r>
  </si>
  <si>
    <r>
      <t xml:space="preserve">Moist unit weight, </t>
    </r>
    <r>
      <rPr>
        <b/>
        <i/>
        <sz val="10"/>
        <color indexed="8"/>
        <rFont val="Symbol"/>
        <family val="1"/>
      </rPr>
      <t>g</t>
    </r>
  </si>
  <si>
    <r>
      <t xml:space="preserve">Drained soil friction angle, </t>
    </r>
    <r>
      <rPr>
        <b/>
        <i/>
        <sz val="10"/>
        <color indexed="8"/>
        <rFont val="Symbol"/>
        <family val="1"/>
      </rPr>
      <t>f</t>
    </r>
    <r>
      <rPr>
        <b/>
        <sz val="10"/>
        <color indexed="8"/>
        <rFont val="Arial"/>
        <family val="2"/>
      </rPr>
      <t>'</t>
    </r>
    <r>
      <rPr>
        <b/>
        <vertAlign val="superscript"/>
        <sz val="10"/>
        <color indexed="8"/>
        <rFont val="Arial"/>
        <family val="2"/>
      </rPr>
      <t>(a)</t>
    </r>
  </si>
  <si>
    <r>
      <t>Undrained soil shear strength</t>
    </r>
    <r>
      <rPr>
        <b/>
        <vertAlign val="superscript"/>
        <sz val="10"/>
        <color indexed="8"/>
        <rFont val="Arial"/>
        <family val="2"/>
      </rPr>
      <t>(b)</t>
    </r>
    <r>
      <rPr>
        <b/>
        <sz val="10"/>
        <color indexed="8"/>
        <rFont val="Arial"/>
        <family val="2"/>
      </rPr>
      <t xml:space="preserve">, </t>
    </r>
    <r>
      <rPr>
        <b/>
        <i/>
        <sz val="10"/>
        <color indexed="8"/>
        <rFont val="Arial"/>
        <family val="2"/>
      </rPr>
      <t>S</t>
    </r>
    <r>
      <rPr>
        <b/>
        <i/>
        <vertAlign val="subscript"/>
        <sz val="10"/>
        <color indexed="8"/>
        <rFont val="Arial"/>
        <family val="2"/>
      </rPr>
      <t>U</t>
    </r>
  </si>
  <si>
    <r>
      <t xml:space="preserve">Young's modulus for soil, </t>
    </r>
    <r>
      <rPr>
        <b/>
        <i/>
        <sz val="10"/>
        <color indexed="8"/>
        <rFont val="Arial"/>
        <family val="2"/>
      </rPr>
      <t>E</t>
    </r>
    <r>
      <rPr>
        <b/>
        <i/>
        <vertAlign val="subscript"/>
        <sz val="10"/>
        <color indexed="8"/>
        <rFont val="Arial"/>
        <family val="2"/>
      </rPr>
      <t>S</t>
    </r>
    <r>
      <rPr>
        <b/>
        <vertAlign val="superscript"/>
        <sz val="10"/>
        <color indexed="8"/>
        <rFont val="Arial"/>
        <family val="2"/>
      </rPr>
      <t>(c)(d)</t>
    </r>
  </si>
  <si>
    <r>
      <t>Increase in Young's modulus per unit depth below grade</t>
    </r>
    <r>
      <rPr>
        <b/>
        <vertAlign val="superscript"/>
        <sz val="10"/>
        <color indexed="8"/>
        <rFont val="Arial"/>
        <family val="2"/>
      </rPr>
      <t>(c)(d)(e)</t>
    </r>
    <r>
      <rPr>
        <b/>
        <sz val="10"/>
        <color indexed="8"/>
        <rFont val="Arial"/>
        <family val="2"/>
      </rPr>
      <t xml:space="preserve">, </t>
    </r>
    <r>
      <rPr>
        <b/>
        <i/>
        <sz val="10"/>
        <color indexed="8"/>
        <rFont val="Arial"/>
        <family val="2"/>
      </rPr>
      <t>A</t>
    </r>
    <r>
      <rPr>
        <b/>
        <i/>
        <vertAlign val="subscript"/>
        <sz val="10"/>
        <color indexed="8"/>
        <rFont val="Arial"/>
        <family val="2"/>
      </rPr>
      <t>E</t>
    </r>
  </si>
  <si>
    <r>
      <t>Poisson's ratio</t>
    </r>
    <r>
      <rPr>
        <b/>
        <vertAlign val="superscript"/>
        <sz val="10"/>
        <color indexed="8"/>
        <rFont val="Arial"/>
        <family val="2"/>
      </rPr>
      <t>(f)</t>
    </r>
    <r>
      <rPr>
        <b/>
        <sz val="10"/>
        <color indexed="8"/>
        <rFont val="Arial"/>
        <family val="2"/>
      </rPr>
      <t>,</t>
    </r>
    <r>
      <rPr>
        <b/>
        <i/>
        <sz val="10"/>
        <color indexed="8"/>
        <rFont val="Symbol"/>
        <family val="1"/>
      </rPr>
      <t>n</t>
    </r>
  </si>
  <si>
    <r>
      <t xml:space="preserve">2.5 </t>
    </r>
    <r>
      <rPr>
        <i/>
        <sz val="10"/>
        <rFont val="Arial"/>
        <family val="2"/>
      </rPr>
      <t>B</t>
    </r>
    <r>
      <rPr>
        <i/>
        <vertAlign val="subscript"/>
        <sz val="10"/>
        <rFont val="Arial"/>
        <family val="2"/>
      </rPr>
      <t>U</t>
    </r>
    <r>
      <rPr>
        <sz val="10"/>
        <rFont val="Arial"/>
        <family val="0"/>
      </rPr>
      <t xml:space="preserve"> for </t>
    </r>
    <r>
      <rPr>
        <i/>
        <sz val="10"/>
        <rFont val="Symbol"/>
        <family val="1"/>
      </rPr>
      <t xml:space="preserve">f </t>
    </r>
    <r>
      <rPr>
        <sz val="10"/>
        <rFont val="Arial"/>
        <family val="0"/>
      </rPr>
      <t xml:space="preserve">&lt; 20; </t>
    </r>
    <r>
      <rPr>
        <i/>
        <sz val="10"/>
        <rFont val="Arial"/>
        <family val="2"/>
      </rPr>
      <t>B</t>
    </r>
    <r>
      <rPr>
        <i/>
        <vertAlign val="subscript"/>
        <sz val="10"/>
        <rFont val="Arial"/>
        <family val="2"/>
      </rPr>
      <t>U</t>
    </r>
    <r>
      <rPr>
        <sz val="10"/>
        <rFont val="Arial"/>
        <family val="0"/>
      </rPr>
      <t>(5.78-0.350</t>
    </r>
    <r>
      <rPr>
        <sz val="10"/>
        <rFont val="Symbol"/>
        <family val="1"/>
      </rPr>
      <t xml:space="preserve"> f</t>
    </r>
    <r>
      <rPr>
        <sz val="10"/>
        <rFont val="Arial"/>
        <family val="0"/>
      </rPr>
      <t xml:space="preserve"> + 0.00947</t>
    </r>
    <r>
      <rPr>
        <i/>
        <sz val="10"/>
        <rFont val="Symbol"/>
        <family val="1"/>
      </rPr>
      <t>f</t>
    </r>
    <r>
      <rPr>
        <vertAlign val="superscript"/>
        <sz val="10"/>
        <rFont val="Arial"/>
        <family val="2"/>
      </rPr>
      <t>2</t>
    </r>
    <r>
      <rPr>
        <sz val="10"/>
        <rFont val="Arial"/>
        <family val="0"/>
      </rPr>
      <t>) for</t>
    </r>
    <r>
      <rPr>
        <i/>
        <sz val="10"/>
        <rFont val="Symbol"/>
        <family val="1"/>
      </rPr>
      <t xml:space="preserve"> f</t>
    </r>
    <r>
      <rPr>
        <sz val="10"/>
        <rFont val="Arial"/>
        <family val="0"/>
      </rPr>
      <t>&gt;20</t>
    </r>
  </si>
  <si>
    <t>Shallow foundation in cohesionless soils with circular uplift resisting system</t>
  </si>
  <si>
    <t>Shallow foundation in cohesionless soils with rectangular uplift resisting system</t>
  </si>
  <si>
    <t>Deep foundation in cohesionless soils with circular uplift resisting system</t>
  </si>
  <si>
    <t>Deep foundation in cohesionless soils with rectangular uplift resisting system</t>
  </si>
  <si>
    <t>Foundation in cohesive soils with circular uplift system</t>
  </si>
  <si>
    <t>Foundation in cohesive soils with rectangular uplift system</t>
  </si>
  <si>
    <t>Graviational acceleration</t>
  </si>
  <si>
    <r>
      <t>g</t>
    </r>
    <r>
      <rPr>
        <sz val="10"/>
        <rFont val="Arial"/>
        <family val="2"/>
      </rPr>
      <t xml:space="preserve"> </t>
    </r>
    <r>
      <rPr>
        <i/>
        <sz val="10"/>
        <rFont val="Arial"/>
        <family val="2"/>
      </rPr>
      <t>d</t>
    </r>
    <r>
      <rPr>
        <i/>
        <vertAlign val="subscript"/>
        <sz val="10"/>
        <rFont val="Arial"/>
        <family val="2"/>
      </rPr>
      <t>U</t>
    </r>
    <r>
      <rPr>
        <sz val="10"/>
        <rFont val="Arial"/>
        <family val="2"/>
      </rPr>
      <t xml:space="preserve"> (</t>
    </r>
    <r>
      <rPr>
        <sz val="10"/>
        <rFont val="Symbol"/>
        <family val="1"/>
      </rPr>
      <t>p</t>
    </r>
    <r>
      <rPr>
        <sz val="10"/>
        <rFont val="Arial"/>
        <family val="2"/>
      </rPr>
      <t xml:space="preserve"> </t>
    </r>
    <r>
      <rPr>
        <i/>
        <sz val="10"/>
        <rFont val="Arial"/>
        <family val="2"/>
      </rPr>
      <t>d</t>
    </r>
    <r>
      <rPr>
        <i/>
        <vertAlign val="subscript"/>
        <sz val="10"/>
        <rFont val="Arial"/>
        <family val="2"/>
      </rPr>
      <t>U</t>
    </r>
    <r>
      <rPr>
        <i/>
        <sz val="10"/>
        <rFont val="Arial"/>
        <family val="2"/>
      </rPr>
      <t xml:space="preserve"> s</t>
    </r>
    <r>
      <rPr>
        <i/>
        <vertAlign val="subscript"/>
        <sz val="10"/>
        <rFont val="Arial"/>
        <family val="2"/>
      </rPr>
      <t xml:space="preserve">F </t>
    </r>
    <r>
      <rPr>
        <i/>
        <sz val="10"/>
        <rFont val="Arial"/>
        <family val="2"/>
      </rPr>
      <t>B</t>
    </r>
    <r>
      <rPr>
        <i/>
        <vertAlign val="subscript"/>
        <sz val="10"/>
        <rFont val="Arial"/>
        <family val="2"/>
      </rPr>
      <t>U</t>
    </r>
    <r>
      <rPr>
        <i/>
        <sz val="10"/>
        <rFont val="Arial"/>
        <family val="2"/>
      </rPr>
      <t xml:space="preserve"> K</t>
    </r>
    <r>
      <rPr>
        <i/>
        <vertAlign val="subscript"/>
        <sz val="10"/>
        <rFont val="Arial"/>
        <family val="2"/>
      </rPr>
      <t>U</t>
    </r>
    <r>
      <rPr>
        <i/>
        <sz val="10"/>
        <rFont val="Arial"/>
        <family val="2"/>
      </rPr>
      <t xml:space="preserve"> </t>
    </r>
    <r>
      <rPr>
        <sz val="10"/>
        <rFont val="Arial"/>
        <family val="2"/>
      </rPr>
      <t>tan</t>
    </r>
    <r>
      <rPr>
        <i/>
        <sz val="10"/>
        <rFont val="Symbol"/>
        <family val="1"/>
      </rPr>
      <t>f</t>
    </r>
    <r>
      <rPr>
        <i/>
        <sz val="10"/>
        <rFont val="Arial"/>
        <family val="2"/>
      </rPr>
      <t xml:space="preserve"> /</t>
    </r>
    <r>
      <rPr>
        <sz val="10"/>
        <rFont val="Arial"/>
        <family val="2"/>
      </rPr>
      <t xml:space="preserve"> 2 + </t>
    </r>
    <r>
      <rPr>
        <i/>
        <sz val="10"/>
        <rFont val="Arial"/>
        <family val="2"/>
      </rPr>
      <t>B</t>
    </r>
    <r>
      <rPr>
        <i/>
        <vertAlign val="subscript"/>
        <sz val="10"/>
        <rFont val="Arial"/>
        <family val="2"/>
      </rPr>
      <t>U</t>
    </r>
    <r>
      <rPr>
        <i/>
        <vertAlign val="superscript"/>
        <sz val="10"/>
        <rFont val="Arial"/>
        <family val="2"/>
      </rPr>
      <t xml:space="preserve">2 </t>
    </r>
    <r>
      <rPr>
        <sz val="10"/>
        <rFont val="Symbol"/>
        <family val="1"/>
      </rPr>
      <t>p</t>
    </r>
    <r>
      <rPr>
        <sz val="10"/>
        <rFont val="Arial"/>
        <family val="2"/>
      </rPr>
      <t xml:space="preserve"> </t>
    </r>
    <r>
      <rPr>
        <i/>
        <sz val="10"/>
        <rFont val="Arial"/>
        <family val="2"/>
      </rPr>
      <t>/</t>
    </r>
    <r>
      <rPr>
        <sz val="10"/>
        <rFont val="Arial"/>
        <family val="2"/>
      </rPr>
      <t xml:space="preserve"> 4 </t>
    </r>
    <r>
      <rPr>
        <i/>
        <sz val="10"/>
        <rFont val="Arial"/>
        <family val="2"/>
      </rPr>
      <t>– A</t>
    </r>
    <r>
      <rPr>
        <i/>
        <vertAlign val="subscript"/>
        <sz val="10"/>
        <rFont val="Arial"/>
        <family val="2"/>
      </rPr>
      <t>p</t>
    </r>
    <r>
      <rPr>
        <sz val="10"/>
        <rFont val="Arial"/>
        <family val="2"/>
      </rPr>
      <t>)</t>
    </r>
  </si>
  <si>
    <r>
      <t>g</t>
    </r>
    <r>
      <rPr>
        <sz val="10"/>
        <rFont val="Arial"/>
        <family val="2"/>
      </rPr>
      <t xml:space="preserve"> </t>
    </r>
    <r>
      <rPr>
        <i/>
        <sz val="10"/>
        <rFont val="Arial"/>
        <family val="2"/>
      </rPr>
      <t>d</t>
    </r>
    <r>
      <rPr>
        <i/>
        <vertAlign val="subscript"/>
        <sz val="10"/>
        <rFont val="Arial"/>
        <family val="2"/>
      </rPr>
      <t>U</t>
    </r>
    <r>
      <rPr>
        <sz val="10"/>
        <rFont val="Arial"/>
        <family val="2"/>
      </rPr>
      <t xml:space="preserve"> [</t>
    </r>
    <r>
      <rPr>
        <i/>
        <sz val="10"/>
        <rFont val="Arial"/>
        <family val="2"/>
      </rPr>
      <t>d</t>
    </r>
    <r>
      <rPr>
        <i/>
        <vertAlign val="subscript"/>
        <sz val="10"/>
        <rFont val="Arial"/>
        <family val="2"/>
      </rPr>
      <t xml:space="preserve">U </t>
    </r>
    <r>
      <rPr>
        <i/>
        <sz val="10"/>
        <rFont val="Arial"/>
        <family val="2"/>
      </rPr>
      <t>(2s</t>
    </r>
    <r>
      <rPr>
        <i/>
        <vertAlign val="subscript"/>
        <sz val="10"/>
        <rFont val="Arial"/>
        <family val="2"/>
      </rPr>
      <t xml:space="preserve">F </t>
    </r>
    <r>
      <rPr>
        <i/>
        <sz val="10"/>
        <rFont val="Arial"/>
        <family val="2"/>
      </rPr>
      <t>B</t>
    </r>
    <r>
      <rPr>
        <i/>
        <vertAlign val="subscript"/>
        <sz val="10"/>
        <rFont val="Arial"/>
        <family val="2"/>
      </rPr>
      <t>U</t>
    </r>
    <r>
      <rPr>
        <i/>
        <sz val="10"/>
        <rFont val="Arial"/>
        <family val="2"/>
      </rPr>
      <t xml:space="preserve"> + L</t>
    </r>
    <r>
      <rPr>
        <i/>
        <vertAlign val="subscript"/>
        <sz val="10"/>
        <rFont val="Arial"/>
        <family val="2"/>
      </rPr>
      <t>U</t>
    </r>
    <r>
      <rPr>
        <sz val="10"/>
        <rFont val="Arial"/>
        <family val="2"/>
      </rPr>
      <t xml:space="preserve"> –</t>
    </r>
    <r>
      <rPr>
        <i/>
        <sz val="10"/>
        <rFont val="Arial"/>
        <family val="2"/>
      </rPr>
      <t xml:space="preserve"> B</t>
    </r>
    <r>
      <rPr>
        <i/>
        <vertAlign val="subscript"/>
        <sz val="10"/>
        <rFont val="Arial"/>
        <family val="2"/>
      </rPr>
      <t>U</t>
    </r>
    <r>
      <rPr>
        <i/>
        <sz val="10"/>
        <rFont val="Arial"/>
        <family val="2"/>
      </rPr>
      <t>) K</t>
    </r>
    <r>
      <rPr>
        <i/>
        <vertAlign val="subscript"/>
        <sz val="10"/>
        <rFont val="Arial"/>
        <family val="2"/>
      </rPr>
      <t>U</t>
    </r>
    <r>
      <rPr>
        <i/>
        <sz val="10"/>
        <rFont val="Arial"/>
        <family val="2"/>
      </rPr>
      <t xml:space="preserve"> </t>
    </r>
    <r>
      <rPr>
        <sz val="10"/>
        <rFont val="Arial"/>
        <family val="2"/>
      </rPr>
      <t>tan</t>
    </r>
    <r>
      <rPr>
        <i/>
        <sz val="10"/>
        <rFont val="Symbol"/>
        <family val="1"/>
      </rPr>
      <t>f</t>
    </r>
    <r>
      <rPr>
        <sz val="10"/>
        <rFont val="Arial"/>
        <family val="2"/>
      </rPr>
      <t xml:space="preserve"> + </t>
    </r>
    <r>
      <rPr>
        <i/>
        <sz val="10"/>
        <rFont val="Arial"/>
        <family val="2"/>
      </rPr>
      <t>B</t>
    </r>
    <r>
      <rPr>
        <i/>
        <vertAlign val="subscript"/>
        <sz val="10"/>
        <rFont val="Arial"/>
        <family val="2"/>
      </rPr>
      <t xml:space="preserve">U </t>
    </r>
    <r>
      <rPr>
        <i/>
        <sz val="10"/>
        <rFont val="Arial"/>
        <family val="2"/>
      </rPr>
      <t>L</t>
    </r>
    <r>
      <rPr>
        <i/>
        <vertAlign val="subscript"/>
        <sz val="10"/>
        <rFont val="Arial"/>
        <family val="2"/>
      </rPr>
      <t>U</t>
    </r>
    <r>
      <rPr>
        <sz val="10"/>
        <rFont val="Arial"/>
        <family val="2"/>
      </rPr>
      <t xml:space="preserve"> </t>
    </r>
    <r>
      <rPr>
        <i/>
        <sz val="10"/>
        <rFont val="Arial"/>
        <family val="2"/>
      </rPr>
      <t>– A</t>
    </r>
    <r>
      <rPr>
        <i/>
        <vertAlign val="subscript"/>
        <sz val="10"/>
        <rFont val="Arial"/>
        <family val="2"/>
      </rPr>
      <t>p</t>
    </r>
    <r>
      <rPr>
        <sz val="10"/>
        <rFont val="Arial"/>
        <family val="2"/>
      </rPr>
      <t>]</t>
    </r>
  </si>
  <si>
    <r>
      <t>g</t>
    </r>
    <r>
      <rPr>
        <sz val="10"/>
        <rFont val="Arial"/>
        <family val="2"/>
      </rPr>
      <t xml:space="preserve">  [</t>
    </r>
    <r>
      <rPr>
        <sz val="10"/>
        <rFont val="Symbol"/>
        <family val="1"/>
      </rPr>
      <t>p</t>
    </r>
    <r>
      <rPr>
        <sz val="10"/>
        <rFont val="Arial"/>
        <family val="2"/>
      </rPr>
      <t xml:space="preserve"> </t>
    </r>
    <r>
      <rPr>
        <i/>
        <sz val="10"/>
        <rFont val="Arial"/>
        <family val="2"/>
      </rPr>
      <t xml:space="preserve">h </t>
    </r>
    <r>
      <rPr>
        <sz val="10"/>
        <rFont val="Arial"/>
        <family val="2"/>
      </rPr>
      <t>(</t>
    </r>
    <r>
      <rPr>
        <i/>
        <sz val="10"/>
        <rFont val="Arial"/>
        <family val="2"/>
      </rPr>
      <t>d</t>
    </r>
    <r>
      <rPr>
        <i/>
        <vertAlign val="subscript"/>
        <sz val="10"/>
        <rFont val="Arial"/>
        <family val="2"/>
      </rPr>
      <t xml:space="preserve">U </t>
    </r>
    <r>
      <rPr>
        <i/>
        <sz val="10"/>
        <rFont val="Arial"/>
        <family val="2"/>
      </rPr>
      <t>– h /</t>
    </r>
    <r>
      <rPr>
        <sz val="10"/>
        <rFont val="Arial"/>
        <family val="2"/>
      </rPr>
      <t xml:space="preserve"> 2)</t>
    </r>
    <r>
      <rPr>
        <i/>
        <sz val="10"/>
        <rFont val="Arial"/>
        <family val="2"/>
      </rPr>
      <t xml:space="preserve"> s</t>
    </r>
    <r>
      <rPr>
        <i/>
        <vertAlign val="subscript"/>
        <sz val="10"/>
        <rFont val="Arial"/>
        <family val="2"/>
      </rPr>
      <t xml:space="preserve">F </t>
    </r>
    <r>
      <rPr>
        <i/>
        <sz val="10"/>
        <rFont val="Arial"/>
        <family val="2"/>
      </rPr>
      <t>B</t>
    </r>
    <r>
      <rPr>
        <i/>
        <vertAlign val="subscript"/>
        <sz val="10"/>
        <rFont val="Arial"/>
        <family val="2"/>
      </rPr>
      <t>U</t>
    </r>
    <r>
      <rPr>
        <i/>
        <sz val="10"/>
        <rFont val="Arial"/>
        <family val="2"/>
      </rPr>
      <t xml:space="preserve"> K</t>
    </r>
    <r>
      <rPr>
        <i/>
        <vertAlign val="subscript"/>
        <sz val="10"/>
        <rFont val="Arial"/>
        <family val="2"/>
      </rPr>
      <t>U</t>
    </r>
    <r>
      <rPr>
        <i/>
        <sz val="10"/>
        <rFont val="Arial"/>
        <family val="2"/>
      </rPr>
      <t xml:space="preserve"> </t>
    </r>
    <r>
      <rPr>
        <sz val="10"/>
        <rFont val="Arial"/>
        <family val="2"/>
      </rPr>
      <t>tan</t>
    </r>
    <r>
      <rPr>
        <i/>
        <sz val="10"/>
        <rFont val="Symbol"/>
        <family val="1"/>
      </rPr>
      <t>f</t>
    </r>
    <r>
      <rPr>
        <sz val="10"/>
        <rFont val="Arial"/>
        <family val="2"/>
      </rPr>
      <t xml:space="preserve"> + </t>
    </r>
    <r>
      <rPr>
        <i/>
        <sz val="10"/>
        <rFont val="Arial"/>
        <family val="2"/>
      </rPr>
      <t>d</t>
    </r>
    <r>
      <rPr>
        <i/>
        <vertAlign val="subscript"/>
        <sz val="10"/>
        <rFont val="Arial"/>
        <family val="2"/>
      </rPr>
      <t>U</t>
    </r>
    <r>
      <rPr>
        <sz val="10"/>
        <rFont val="Arial"/>
        <family val="2"/>
      </rPr>
      <t xml:space="preserve"> </t>
    </r>
    <r>
      <rPr>
        <i/>
        <sz val="10"/>
        <rFont val="Arial"/>
        <family val="2"/>
      </rPr>
      <t>B</t>
    </r>
    <r>
      <rPr>
        <i/>
        <vertAlign val="subscript"/>
        <sz val="10"/>
        <rFont val="Arial"/>
        <family val="2"/>
      </rPr>
      <t>U</t>
    </r>
    <r>
      <rPr>
        <i/>
        <vertAlign val="superscript"/>
        <sz val="10"/>
        <rFont val="Arial"/>
        <family val="2"/>
      </rPr>
      <t xml:space="preserve">2 </t>
    </r>
    <r>
      <rPr>
        <sz val="10"/>
        <rFont val="Symbol"/>
        <family val="1"/>
      </rPr>
      <t>p</t>
    </r>
    <r>
      <rPr>
        <sz val="10"/>
        <rFont val="Arial"/>
        <family val="2"/>
      </rPr>
      <t xml:space="preserve"> </t>
    </r>
    <r>
      <rPr>
        <i/>
        <sz val="10"/>
        <rFont val="Arial"/>
        <family val="2"/>
      </rPr>
      <t>/</t>
    </r>
    <r>
      <rPr>
        <sz val="10"/>
        <rFont val="Arial"/>
        <family val="2"/>
      </rPr>
      <t xml:space="preserve"> 4 </t>
    </r>
    <r>
      <rPr>
        <i/>
        <sz val="10"/>
        <rFont val="Arial"/>
        <family val="2"/>
      </rPr>
      <t>– d</t>
    </r>
    <r>
      <rPr>
        <i/>
        <vertAlign val="subscript"/>
        <sz val="10"/>
        <rFont val="Arial"/>
        <family val="2"/>
      </rPr>
      <t>U</t>
    </r>
    <r>
      <rPr>
        <sz val="10"/>
        <rFont val="Arial"/>
        <family val="2"/>
      </rPr>
      <t xml:space="preserve"> </t>
    </r>
    <r>
      <rPr>
        <i/>
        <sz val="10"/>
        <rFont val="Arial"/>
        <family val="2"/>
      </rPr>
      <t>A</t>
    </r>
    <r>
      <rPr>
        <i/>
        <vertAlign val="subscript"/>
        <sz val="10"/>
        <rFont val="Arial"/>
        <family val="2"/>
      </rPr>
      <t>p</t>
    </r>
    <r>
      <rPr>
        <sz val="10"/>
        <rFont val="Arial"/>
        <family val="2"/>
      </rPr>
      <t>]</t>
    </r>
  </si>
  <si>
    <r>
      <t>g</t>
    </r>
    <r>
      <rPr>
        <sz val="10"/>
        <rFont val="Arial"/>
        <family val="2"/>
      </rPr>
      <t xml:space="preserve"> </t>
    </r>
    <r>
      <rPr>
        <i/>
        <sz val="10"/>
        <rFont val="Arial"/>
        <family val="2"/>
      </rPr>
      <t>d</t>
    </r>
    <r>
      <rPr>
        <i/>
        <vertAlign val="subscript"/>
        <sz val="10"/>
        <rFont val="Arial"/>
        <family val="2"/>
      </rPr>
      <t xml:space="preserve">U </t>
    </r>
    <r>
      <rPr>
        <sz val="10"/>
        <rFont val="Arial"/>
        <family val="2"/>
      </rPr>
      <t>(</t>
    </r>
    <r>
      <rPr>
        <i/>
        <sz val="10"/>
        <rFont val="Arial"/>
        <family val="2"/>
      </rPr>
      <t>B</t>
    </r>
    <r>
      <rPr>
        <i/>
        <vertAlign val="subscript"/>
        <sz val="10"/>
        <rFont val="Arial"/>
        <family val="2"/>
      </rPr>
      <t>U</t>
    </r>
    <r>
      <rPr>
        <i/>
        <vertAlign val="superscript"/>
        <sz val="10"/>
        <rFont val="Arial"/>
        <family val="2"/>
      </rPr>
      <t xml:space="preserve">2 </t>
    </r>
    <r>
      <rPr>
        <sz val="10"/>
        <rFont val="Symbol"/>
        <family val="1"/>
      </rPr>
      <t>p</t>
    </r>
    <r>
      <rPr>
        <sz val="10"/>
        <rFont val="Arial"/>
        <family val="2"/>
      </rPr>
      <t xml:space="preserve"> </t>
    </r>
    <r>
      <rPr>
        <i/>
        <sz val="10"/>
        <rFont val="Arial"/>
        <family val="2"/>
      </rPr>
      <t>/</t>
    </r>
    <r>
      <rPr>
        <sz val="10"/>
        <rFont val="Arial"/>
        <family val="2"/>
      </rPr>
      <t xml:space="preserve"> 4 </t>
    </r>
    <r>
      <rPr>
        <i/>
        <sz val="10"/>
        <rFont val="Arial"/>
        <family val="2"/>
      </rPr>
      <t>– A</t>
    </r>
    <r>
      <rPr>
        <i/>
        <vertAlign val="subscript"/>
        <sz val="10"/>
        <rFont val="Arial"/>
        <family val="2"/>
      </rPr>
      <t>p</t>
    </r>
    <r>
      <rPr>
        <sz val="10"/>
        <rFont val="Arial"/>
        <family val="2"/>
      </rPr>
      <t xml:space="preserve">) + </t>
    </r>
    <r>
      <rPr>
        <i/>
        <sz val="10"/>
        <rFont val="Arial"/>
        <family val="2"/>
      </rPr>
      <t>F</t>
    </r>
    <r>
      <rPr>
        <i/>
        <vertAlign val="subscript"/>
        <sz val="10"/>
        <rFont val="Arial"/>
        <family val="2"/>
      </rPr>
      <t>C</t>
    </r>
    <r>
      <rPr>
        <i/>
        <sz val="10"/>
        <rFont val="Arial"/>
        <family val="2"/>
      </rPr>
      <t xml:space="preserve"> S</t>
    </r>
    <r>
      <rPr>
        <i/>
        <vertAlign val="subscript"/>
        <sz val="10"/>
        <rFont val="Arial"/>
        <family val="2"/>
      </rPr>
      <t>u</t>
    </r>
    <r>
      <rPr>
        <sz val="10"/>
        <rFont val="Arial"/>
        <family val="2"/>
      </rPr>
      <t xml:space="preserve"> </t>
    </r>
    <r>
      <rPr>
        <i/>
        <sz val="10"/>
        <rFont val="Arial"/>
        <family val="2"/>
      </rPr>
      <t>B</t>
    </r>
    <r>
      <rPr>
        <i/>
        <vertAlign val="subscript"/>
        <sz val="10"/>
        <rFont val="Arial"/>
        <family val="2"/>
      </rPr>
      <t>U</t>
    </r>
    <r>
      <rPr>
        <i/>
        <vertAlign val="superscript"/>
        <sz val="10"/>
        <rFont val="Arial"/>
        <family val="2"/>
      </rPr>
      <t xml:space="preserve">2 </t>
    </r>
    <r>
      <rPr>
        <sz val="10"/>
        <rFont val="Symbol"/>
        <family val="1"/>
      </rPr>
      <t>p</t>
    </r>
    <r>
      <rPr>
        <sz val="10"/>
        <rFont val="Arial"/>
        <family val="2"/>
      </rPr>
      <t xml:space="preserve"> </t>
    </r>
    <r>
      <rPr>
        <i/>
        <sz val="10"/>
        <rFont val="Arial"/>
        <family val="2"/>
      </rPr>
      <t>/</t>
    </r>
    <r>
      <rPr>
        <sz val="10"/>
        <rFont val="Arial"/>
        <family val="2"/>
      </rPr>
      <t xml:space="preserve"> 4</t>
    </r>
  </si>
  <si>
    <r>
      <t>g</t>
    </r>
    <r>
      <rPr>
        <sz val="10"/>
        <rFont val="Arial"/>
        <family val="2"/>
      </rPr>
      <t xml:space="preserve"> </t>
    </r>
    <r>
      <rPr>
        <i/>
        <sz val="10"/>
        <rFont val="Arial"/>
        <family val="2"/>
      </rPr>
      <t>d</t>
    </r>
    <r>
      <rPr>
        <i/>
        <vertAlign val="subscript"/>
        <sz val="10"/>
        <rFont val="Arial"/>
        <family val="2"/>
      </rPr>
      <t>U</t>
    </r>
    <r>
      <rPr>
        <sz val="10"/>
        <rFont val="Arial"/>
        <family val="2"/>
      </rPr>
      <t xml:space="preserve"> (</t>
    </r>
    <r>
      <rPr>
        <i/>
        <sz val="10"/>
        <rFont val="Arial"/>
        <family val="2"/>
      </rPr>
      <t>B</t>
    </r>
    <r>
      <rPr>
        <i/>
        <vertAlign val="subscript"/>
        <sz val="10"/>
        <rFont val="Arial"/>
        <family val="2"/>
      </rPr>
      <t>U</t>
    </r>
    <r>
      <rPr>
        <i/>
        <vertAlign val="superscript"/>
        <sz val="10"/>
        <rFont val="Arial"/>
        <family val="2"/>
      </rPr>
      <t xml:space="preserve"> </t>
    </r>
    <r>
      <rPr>
        <i/>
        <sz val="10"/>
        <rFont val="Arial"/>
        <family val="2"/>
      </rPr>
      <t>L</t>
    </r>
    <r>
      <rPr>
        <i/>
        <vertAlign val="subscript"/>
        <sz val="10"/>
        <rFont val="Arial"/>
        <family val="2"/>
      </rPr>
      <t>U</t>
    </r>
    <r>
      <rPr>
        <sz val="10"/>
        <rFont val="Arial"/>
        <family val="2"/>
      </rPr>
      <t xml:space="preserve"> </t>
    </r>
    <r>
      <rPr>
        <i/>
        <sz val="10"/>
        <rFont val="Arial"/>
        <family val="2"/>
      </rPr>
      <t>– A</t>
    </r>
    <r>
      <rPr>
        <i/>
        <vertAlign val="subscript"/>
        <sz val="10"/>
        <rFont val="Arial"/>
        <family val="2"/>
      </rPr>
      <t>p</t>
    </r>
    <r>
      <rPr>
        <sz val="10"/>
        <rFont val="Arial"/>
        <family val="2"/>
      </rPr>
      <t xml:space="preserve">) + </t>
    </r>
    <r>
      <rPr>
        <i/>
        <sz val="10"/>
        <rFont val="Arial"/>
        <family val="2"/>
      </rPr>
      <t>F</t>
    </r>
    <r>
      <rPr>
        <i/>
        <vertAlign val="subscript"/>
        <sz val="10"/>
        <rFont val="Arial"/>
        <family val="2"/>
      </rPr>
      <t>C</t>
    </r>
    <r>
      <rPr>
        <i/>
        <sz val="10"/>
        <rFont val="Arial"/>
        <family val="2"/>
      </rPr>
      <t xml:space="preserve"> S</t>
    </r>
    <r>
      <rPr>
        <i/>
        <vertAlign val="subscript"/>
        <sz val="10"/>
        <rFont val="Arial"/>
        <family val="2"/>
      </rPr>
      <t>u</t>
    </r>
    <r>
      <rPr>
        <sz val="10"/>
        <rFont val="Arial"/>
        <family val="2"/>
      </rPr>
      <t xml:space="preserve"> </t>
    </r>
    <r>
      <rPr>
        <i/>
        <sz val="10"/>
        <rFont val="Arial"/>
        <family val="2"/>
      </rPr>
      <t>B</t>
    </r>
    <r>
      <rPr>
        <i/>
        <vertAlign val="subscript"/>
        <sz val="10"/>
        <rFont val="Arial"/>
        <family val="2"/>
      </rPr>
      <t>U</t>
    </r>
    <r>
      <rPr>
        <i/>
        <sz val="10"/>
        <rFont val="Arial"/>
        <family val="2"/>
      </rPr>
      <t xml:space="preserve"> L</t>
    </r>
    <r>
      <rPr>
        <i/>
        <vertAlign val="subscript"/>
        <sz val="10"/>
        <rFont val="Arial"/>
        <family val="2"/>
      </rPr>
      <t>U</t>
    </r>
  </si>
  <si>
    <t>Breakout factor for uplift in cohesive soils</t>
  </si>
  <si>
    <t>ASAE EP 486.3 Clause 12.5.2</t>
  </si>
  <si>
    <t>ASAE EP 486.3 Clause 12.5.1.2</t>
  </si>
  <si>
    <t>ASAE EP 486.3 Clause 12.5.1.1</t>
  </si>
  <si>
    <t>Undrained soil shear strength for soil located above the uplift resisting system</t>
  </si>
  <si>
    <t>ASAE EP 486.3 Clause 12.4</t>
  </si>
  <si>
    <t>ASAE EP 486.3 Clause 12.3</t>
  </si>
  <si>
    <t xml:space="preserve">  Lateral  Strength Assessment - Simplified Method</t>
  </si>
  <si>
    <t xml:space="preserve">  Requirements for use of this method:</t>
  </si>
  <si>
    <t xml:space="preserve"> - Soil is homogeneous for entire embedment depth</t>
  </si>
  <si>
    <r>
      <t>V</t>
    </r>
    <r>
      <rPr>
        <i/>
        <vertAlign val="subscript"/>
        <sz val="10"/>
        <rFont val="Arial"/>
        <family val="2"/>
      </rPr>
      <t>ASD</t>
    </r>
  </si>
  <si>
    <r>
      <t>V</t>
    </r>
    <r>
      <rPr>
        <i/>
        <vertAlign val="subscript"/>
        <sz val="10"/>
        <rFont val="Arial"/>
        <family val="2"/>
      </rPr>
      <t>LRFD</t>
    </r>
  </si>
  <si>
    <t>Shear force applied to foundation at grade by ASD load combination</t>
  </si>
  <si>
    <t>Shear force applied to foundation at grade by LRFD load combination</t>
  </si>
  <si>
    <t>Bending moment applied to foundation at grade by ASD load combination</t>
  </si>
  <si>
    <t>Bending moment applied to foundation at grade by LRFD load combination</t>
  </si>
  <si>
    <t>LRFD resistance factor for lateral strength assessment</t>
  </si>
  <si>
    <t>ASD safety factor for lateral strength assessment</t>
  </si>
  <si>
    <t>Soil friction angle</t>
  </si>
  <si>
    <t>Undrained soil shear strength</t>
  </si>
  <si>
    <t>Width post/pier face pushing on the soil</t>
  </si>
  <si>
    <t>Depth of embedment</t>
  </si>
  <si>
    <t>Moist unit weight of the soil</t>
  </si>
  <si>
    <r>
      <t xml:space="preserve">Cohesion of soil with friction angle </t>
    </r>
    <r>
      <rPr>
        <i/>
        <sz val="10"/>
        <rFont val="Symbol"/>
        <family val="1"/>
      </rPr>
      <t>f</t>
    </r>
  </si>
  <si>
    <t>Required ultimate groundline shear for nonconstrained foundation</t>
  </si>
  <si>
    <r>
      <t>V</t>
    </r>
    <r>
      <rPr>
        <i/>
        <vertAlign val="subscript"/>
        <sz val="10"/>
        <rFont val="Arial"/>
        <family val="2"/>
      </rPr>
      <t>LRFD</t>
    </r>
    <r>
      <rPr>
        <sz val="10"/>
        <rFont val="Arial"/>
        <family val="0"/>
      </rPr>
      <t>/</t>
    </r>
    <r>
      <rPr>
        <i/>
        <sz val="10"/>
        <rFont val="Arial"/>
        <family val="2"/>
      </rPr>
      <t>R</t>
    </r>
    <r>
      <rPr>
        <i/>
        <vertAlign val="subscript"/>
        <sz val="10"/>
        <rFont val="Arial"/>
        <family val="2"/>
      </rPr>
      <t>L</t>
    </r>
    <r>
      <rPr>
        <sz val="10"/>
        <rFont val="Arial"/>
        <family val="0"/>
      </rPr>
      <t xml:space="preserve"> for LRFD; </t>
    </r>
    <r>
      <rPr>
        <i/>
        <sz val="10"/>
        <rFont val="Arial"/>
        <family val="2"/>
      </rPr>
      <t>f</t>
    </r>
    <r>
      <rPr>
        <i/>
        <vertAlign val="subscript"/>
        <sz val="10"/>
        <rFont val="Arial"/>
        <family val="2"/>
      </rPr>
      <t>L</t>
    </r>
    <r>
      <rPr>
        <i/>
        <sz val="10"/>
        <rFont val="Arial"/>
        <family val="2"/>
      </rPr>
      <t>V</t>
    </r>
    <r>
      <rPr>
        <i/>
        <vertAlign val="subscript"/>
        <sz val="10"/>
        <rFont val="Arial"/>
        <family val="2"/>
      </rPr>
      <t>ASD</t>
    </r>
    <r>
      <rPr>
        <sz val="10"/>
        <rFont val="Arial"/>
        <family val="0"/>
      </rPr>
      <t xml:space="preserve"> for ASD</t>
    </r>
  </si>
  <si>
    <r>
      <t>V</t>
    </r>
    <r>
      <rPr>
        <i/>
        <vertAlign val="subscript"/>
        <sz val="10"/>
        <rFont val="Arial"/>
        <family val="2"/>
      </rPr>
      <t>U</t>
    </r>
  </si>
  <si>
    <r>
      <t>K</t>
    </r>
    <r>
      <rPr>
        <i/>
        <vertAlign val="subscript"/>
        <sz val="10"/>
        <rFont val="Arial"/>
        <family val="2"/>
      </rPr>
      <t>P</t>
    </r>
  </si>
  <si>
    <t>Coefficent of passive earth pressure</t>
  </si>
  <si>
    <r>
      <t>(1 + sin</t>
    </r>
    <r>
      <rPr>
        <sz val="10"/>
        <rFont val="Symbol"/>
        <family val="1"/>
      </rPr>
      <t xml:space="preserve"> </t>
    </r>
    <r>
      <rPr>
        <i/>
        <sz val="10"/>
        <rFont val="Symbol"/>
        <family val="1"/>
      </rPr>
      <t>f</t>
    </r>
    <r>
      <rPr>
        <sz val="10"/>
        <rFont val="Arial"/>
        <family val="0"/>
      </rPr>
      <t xml:space="preserve">)/(1 - sin </t>
    </r>
    <r>
      <rPr>
        <i/>
        <sz val="10"/>
        <rFont val="Symbol"/>
        <family val="1"/>
      </rPr>
      <t>f</t>
    </r>
    <r>
      <rPr>
        <sz val="10"/>
        <rFont val="Arial"/>
        <family val="0"/>
      </rPr>
      <t>)</t>
    </r>
  </si>
  <si>
    <t>Increase in ultimate lateral force per unit depth due to soil friction</t>
  </si>
  <si>
    <r>
      <t xml:space="preserve">3 </t>
    </r>
    <r>
      <rPr>
        <i/>
        <sz val="10"/>
        <rFont val="Arial"/>
        <family val="0"/>
      </rPr>
      <t>b K</t>
    </r>
    <r>
      <rPr>
        <i/>
        <vertAlign val="subscript"/>
        <sz val="10"/>
        <rFont val="Arial"/>
        <family val="2"/>
      </rPr>
      <t>P</t>
    </r>
    <r>
      <rPr>
        <i/>
        <sz val="10"/>
        <rFont val="Arial"/>
        <family val="0"/>
      </rPr>
      <t xml:space="preserve"> </t>
    </r>
    <r>
      <rPr>
        <i/>
        <sz val="10"/>
        <rFont val="Symbol"/>
        <family val="1"/>
      </rPr>
      <t>g</t>
    </r>
  </si>
  <si>
    <r>
      <t xml:space="preserve"> - For non-constrained posts/piers in soils with cohesion, depth to ultimate pivot point below grade, </t>
    </r>
    <r>
      <rPr>
        <b/>
        <i/>
        <sz val="10"/>
        <rFont val="Arial"/>
        <family val="2"/>
      </rPr>
      <t>d</t>
    </r>
    <r>
      <rPr>
        <b/>
        <i/>
        <vertAlign val="subscript"/>
        <sz val="10"/>
        <rFont val="Arial"/>
        <family val="2"/>
      </rPr>
      <t>RU</t>
    </r>
    <r>
      <rPr>
        <b/>
        <sz val="10"/>
        <rFont val="Arial"/>
        <family val="2"/>
      </rPr>
      <t xml:space="preserve">, must be greater than four times the post/pier face width, </t>
    </r>
    <r>
      <rPr>
        <b/>
        <i/>
        <sz val="10"/>
        <rFont val="Arial"/>
        <family val="2"/>
      </rPr>
      <t xml:space="preserve">b </t>
    </r>
  </si>
  <si>
    <r>
      <t>2</t>
    </r>
    <r>
      <rPr>
        <i/>
        <sz val="10"/>
        <rFont val="Arial"/>
        <family val="2"/>
      </rPr>
      <t>c</t>
    </r>
    <r>
      <rPr>
        <sz val="10"/>
        <rFont val="Arial"/>
        <family val="0"/>
      </rPr>
      <t>/(</t>
    </r>
    <r>
      <rPr>
        <i/>
        <sz val="10"/>
        <rFont val="Arial"/>
        <family val="2"/>
      </rPr>
      <t>K</t>
    </r>
    <r>
      <rPr>
        <i/>
        <vertAlign val="subscript"/>
        <sz val="10"/>
        <rFont val="Arial"/>
        <family val="2"/>
      </rPr>
      <t>P</t>
    </r>
    <r>
      <rPr>
        <vertAlign val="superscript"/>
        <sz val="10"/>
        <rFont val="Arial"/>
        <family val="2"/>
      </rPr>
      <t>0.5</t>
    </r>
    <r>
      <rPr>
        <i/>
        <sz val="10"/>
        <rFont val="Symbol"/>
        <family val="1"/>
      </rPr>
      <t>g</t>
    </r>
    <r>
      <rPr>
        <sz val="10"/>
        <rFont val="Arial"/>
        <family val="0"/>
      </rPr>
      <t>)</t>
    </r>
  </si>
  <si>
    <t>Intermediate calcuation for ultimate pivot point depth</t>
  </si>
  <si>
    <t>X</t>
  </si>
  <si>
    <r>
      <t xml:space="preserve"> - For non-constrained posts, the shear foce, </t>
    </r>
    <r>
      <rPr>
        <b/>
        <i/>
        <sz val="10"/>
        <rFont val="Arial"/>
        <family val="2"/>
      </rPr>
      <t>V</t>
    </r>
    <r>
      <rPr>
        <b/>
        <i/>
        <vertAlign val="subscript"/>
        <sz val="10"/>
        <rFont val="Arial"/>
        <family val="2"/>
      </rPr>
      <t>G</t>
    </r>
    <r>
      <rPr>
        <b/>
        <sz val="10"/>
        <rFont val="Arial"/>
        <family val="2"/>
      </rPr>
      <t xml:space="preserve">, and bending moment </t>
    </r>
    <r>
      <rPr>
        <b/>
        <i/>
        <sz val="10"/>
        <rFont val="Arial"/>
        <family val="2"/>
      </rPr>
      <t>M</t>
    </r>
    <r>
      <rPr>
        <b/>
        <i/>
        <vertAlign val="subscript"/>
        <sz val="10"/>
        <rFont val="Arial"/>
        <family val="2"/>
      </rPr>
      <t>G</t>
    </r>
    <r>
      <rPr>
        <b/>
        <sz val="10"/>
        <rFont val="Arial"/>
        <family val="2"/>
      </rPr>
      <t xml:space="preserve"> must not independently cause post rotation in opposite directions (they must have the same signs in the following tables)</t>
    </r>
  </si>
  <si>
    <t>Non-constrained post/pier in cohesionless or mixed soils</t>
  </si>
  <si>
    <r>
      <t>S</t>
    </r>
    <r>
      <rPr>
        <i/>
        <vertAlign val="subscript"/>
        <sz val="10"/>
        <rFont val="Arial"/>
        <family val="2"/>
      </rPr>
      <t>LU</t>
    </r>
    <r>
      <rPr>
        <sz val="10"/>
        <rFont val="Arial"/>
        <family val="0"/>
      </rPr>
      <t>(</t>
    </r>
    <r>
      <rPr>
        <i/>
        <sz val="10"/>
        <rFont val="Arial"/>
        <family val="2"/>
      </rPr>
      <t>d</t>
    </r>
    <r>
      <rPr>
        <vertAlign val="superscript"/>
        <sz val="10"/>
        <rFont val="Arial"/>
        <family val="2"/>
      </rPr>
      <t xml:space="preserve">3 </t>
    </r>
    <r>
      <rPr>
        <sz val="10"/>
        <rFont val="Arial"/>
        <family val="0"/>
      </rPr>
      <t xml:space="preserve">- 2 </t>
    </r>
    <r>
      <rPr>
        <i/>
        <sz val="10"/>
        <rFont val="Arial"/>
        <family val="2"/>
      </rPr>
      <t>d</t>
    </r>
    <r>
      <rPr>
        <i/>
        <vertAlign val="subscript"/>
        <sz val="10"/>
        <rFont val="Arial"/>
        <family val="2"/>
      </rPr>
      <t>RU</t>
    </r>
    <r>
      <rPr>
        <vertAlign val="superscript"/>
        <sz val="10"/>
        <rFont val="Arial"/>
        <family val="2"/>
      </rPr>
      <t>3</t>
    </r>
    <r>
      <rPr>
        <sz val="10"/>
        <rFont val="Arial"/>
        <family val="0"/>
      </rPr>
      <t xml:space="preserve">)/3 + 6 </t>
    </r>
    <r>
      <rPr>
        <i/>
        <sz val="10"/>
        <rFont val="Arial"/>
        <family val="2"/>
      </rPr>
      <t>b c K</t>
    </r>
    <r>
      <rPr>
        <i/>
        <vertAlign val="subscript"/>
        <sz val="10"/>
        <rFont val="Arial"/>
        <family val="2"/>
      </rPr>
      <t>P</t>
    </r>
    <r>
      <rPr>
        <vertAlign val="superscript"/>
        <sz val="10"/>
        <rFont val="Arial"/>
        <family val="2"/>
      </rPr>
      <t>0.5</t>
    </r>
    <r>
      <rPr>
        <sz val="10"/>
        <rFont val="Arial"/>
        <family val="0"/>
      </rPr>
      <t>(</t>
    </r>
    <r>
      <rPr>
        <i/>
        <sz val="10"/>
        <rFont val="Arial"/>
        <family val="2"/>
      </rPr>
      <t>d</t>
    </r>
    <r>
      <rPr>
        <vertAlign val="superscript"/>
        <sz val="10"/>
        <rFont val="Arial"/>
        <family val="2"/>
      </rPr>
      <t>2</t>
    </r>
    <r>
      <rPr>
        <sz val="10"/>
        <rFont val="Arial"/>
        <family val="0"/>
      </rPr>
      <t xml:space="preserve">/2 - </t>
    </r>
    <r>
      <rPr>
        <i/>
        <sz val="10"/>
        <rFont val="Arial"/>
        <family val="2"/>
      </rPr>
      <t>d</t>
    </r>
    <r>
      <rPr>
        <i/>
        <vertAlign val="subscript"/>
        <sz val="10"/>
        <rFont val="Arial"/>
        <family val="2"/>
      </rPr>
      <t>RU</t>
    </r>
    <r>
      <rPr>
        <vertAlign val="superscript"/>
        <sz val="10"/>
        <rFont val="Arial"/>
        <family val="2"/>
      </rPr>
      <t xml:space="preserve">2 </t>
    </r>
    <r>
      <rPr>
        <sz val="10"/>
        <rFont val="Arial"/>
        <family val="0"/>
      </rPr>
      <t xml:space="preserve">+ </t>
    </r>
    <r>
      <rPr>
        <i/>
        <sz val="10"/>
        <rFont val="Arial"/>
        <family val="2"/>
      </rPr>
      <t>b</t>
    </r>
    <r>
      <rPr>
        <vertAlign val="superscript"/>
        <sz val="10"/>
        <rFont val="Arial"/>
        <family val="2"/>
      </rPr>
      <t>2</t>
    </r>
    <r>
      <rPr>
        <sz val="10"/>
        <rFont val="Arial"/>
        <family val="0"/>
      </rPr>
      <t>/4)</t>
    </r>
  </si>
  <si>
    <r>
      <t xml:space="preserve">9 </t>
    </r>
    <r>
      <rPr>
        <i/>
        <sz val="10"/>
        <rFont val="Arial"/>
        <family val="2"/>
      </rPr>
      <t>b S</t>
    </r>
    <r>
      <rPr>
        <i/>
        <vertAlign val="subscript"/>
        <sz val="10"/>
        <rFont val="Arial"/>
        <family val="2"/>
      </rPr>
      <t>U</t>
    </r>
    <r>
      <rPr>
        <sz val="10"/>
        <rFont val="Arial"/>
        <family val="0"/>
      </rPr>
      <t>(</t>
    </r>
    <r>
      <rPr>
        <i/>
        <sz val="10"/>
        <rFont val="Arial"/>
        <family val="2"/>
      </rPr>
      <t>d</t>
    </r>
    <r>
      <rPr>
        <vertAlign val="superscript"/>
        <sz val="10"/>
        <rFont val="Arial"/>
        <family val="2"/>
      </rPr>
      <t>2</t>
    </r>
    <r>
      <rPr>
        <sz val="10"/>
        <rFont val="Arial"/>
        <family val="0"/>
      </rPr>
      <t xml:space="preserve">/2 - </t>
    </r>
    <r>
      <rPr>
        <i/>
        <sz val="10"/>
        <rFont val="Arial"/>
        <family val="2"/>
      </rPr>
      <t>d</t>
    </r>
    <r>
      <rPr>
        <i/>
        <vertAlign val="subscript"/>
        <sz val="10"/>
        <rFont val="Arial"/>
        <family val="2"/>
      </rPr>
      <t>RU</t>
    </r>
    <r>
      <rPr>
        <vertAlign val="superscript"/>
        <sz val="10"/>
        <rFont val="Arial"/>
        <family val="2"/>
      </rPr>
      <t>2</t>
    </r>
    <r>
      <rPr>
        <sz val="10"/>
        <rFont val="Arial"/>
        <family val="0"/>
      </rPr>
      <t xml:space="preserve"> + 16</t>
    </r>
    <r>
      <rPr>
        <i/>
        <sz val="10"/>
        <rFont val="Arial"/>
        <family val="2"/>
      </rPr>
      <t>b</t>
    </r>
    <r>
      <rPr>
        <vertAlign val="superscript"/>
        <sz val="10"/>
        <rFont val="Arial"/>
        <family val="2"/>
      </rPr>
      <t>2</t>
    </r>
    <r>
      <rPr>
        <sz val="10"/>
        <rFont val="Arial"/>
        <family val="0"/>
      </rPr>
      <t>/9)</t>
    </r>
  </si>
  <si>
    <r>
      <t xml:space="preserve">Constrained post in cohesive soils with </t>
    </r>
    <r>
      <rPr>
        <i/>
        <sz val="10"/>
        <rFont val="Arial"/>
        <family val="2"/>
      </rPr>
      <t>d</t>
    </r>
    <r>
      <rPr>
        <sz val="10"/>
        <rFont val="Arial"/>
        <family val="0"/>
      </rPr>
      <t>&lt; 4</t>
    </r>
    <r>
      <rPr>
        <i/>
        <sz val="10"/>
        <rFont val="Arial"/>
        <family val="2"/>
      </rPr>
      <t>b</t>
    </r>
  </si>
  <si>
    <r>
      <t xml:space="preserve">Constrained post in cohesive soils with </t>
    </r>
    <r>
      <rPr>
        <i/>
        <sz val="10"/>
        <rFont val="Arial"/>
        <family val="2"/>
      </rPr>
      <t xml:space="preserve">d </t>
    </r>
    <r>
      <rPr>
        <sz val="10"/>
        <rFont val="Arial"/>
        <family val="0"/>
      </rPr>
      <t>&gt; 4</t>
    </r>
    <r>
      <rPr>
        <i/>
        <sz val="10"/>
        <rFont val="Arial"/>
        <family val="2"/>
      </rPr>
      <t>b</t>
    </r>
  </si>
  <si>
    <r>
      <t xml:space="preserve">Non-contrained post in purely cohesive soils with </t>
    </r>
    <r>
      <rPr>
        <i/>
        <sz val="10"/>
        <rFont val="Arial"/>
        <family val="2"/>
      </rPr>
      <t>d</t>
    </r>
    <r>
      <rPr>
        <i/>
        <vertAlign val="subscript"/>
        <sz val="10"/>
        <rFont val="Arial"/>
        <family val="2"/>
      </rPr>
      <t>RU</t>
    </r>
    <r>
      <rPr>
        <sz val="10"/>
        <rFont val="Arial"/>
        <family val="0"/>
      </rPr>
      <t xml:space="preserve"> &gt; 4</t>
    </r>
    <r>
      <rPr>
        <i/>
        <sz val="10"/>
        <rFont val="Arial"/>
        <family val="2"/>
      </rPr>
      <t>b</t>
    </r>
  </si>
  <si>
    <r>
      <t>b S</t>
    </r>
    <r>
      <rPr>
        <i/>
        <vertAlign val="subscript"/>
        <sz val="10"/>
        <rFont val="Arial"/>
        <family val="2"/>
      </rPr>
      <t>U</t>
    </r>
    <r>
      <rPr>
        <sz val="10"/>
        <rFont val="Arial"/>
        <family val="0"/>
      </rPr>
      <t>[4.5</t>
    </r>
    <r>
      <rPr>
        <i/>
        <sz val="10"/>
        <rFont val="Arial"/>
        <family val="2"/>
      </rPr>
      <t>d</t>
    </r>
    <r>
      <rPr>
        <vertAlign val="superscript"/>
        <sz val="10"/>
        <rFont val="Arial"/>
        <family val="2"/>
      </rPr>
      <t>2</t>
    </r>
    <r>
      <rPr>
        <sz val="10"/>
        <rFont val="Arial"/>
        <family val="0"/>
      </rPr>
      <t>-6</t>
    </r>
    <r>
      <rPr>
        <i/>
        <sz val="10"/>
        <rFont val="Arial"/>
        <family val="2"/>
      </rPr>
      <t>d</t>
    </r>
    <r>
      <rPr>
        <i/>
        <vertAlign val="subscript"/>
        <sz val="10"/>
        <rFont val="Arial"/>
        <family val="2"/>
      </rPr>
      <t>RU</t>
    </r>
    <r>
      <rPr>
        <vertAlign val="superscript"/>
        <sz val="10"/>
        <rFont val="Arial"/>
        <family val="2"/>
      </rPr>
      <t>2</t>
    </r>
    <r>
      <rPr>
        <sz val="10"/>
        <rFont val="Arial"/>
        <family val="0"/>
      </rPr>
      <t>-</t>
    </r>
    <r>
      <rPr>
        <i/>
        <sz val="10"/>
        <rFont val="Arial"/>
        <family val="2"/>
      </rPr>
      <t>d</t>
    </r>
    <r>
      <rPr>
        <i/>
        <vertAlign val="subscript"/>
        <sz val="10"/>
        <rFont val="Arial"/>
        <family val="2"/>
      </rPr>
      <t>RU</t>
    </r>
    <r>
      <rPr>
        <vertAlign val="superscript"/>
        <sz val="10"/>
        <rFont val="Arial"/>
        <family val="2"/>
      </rPr>
      <t>3</t>
    </r>
    <r>
      <rPr>
        <sz val="10"/>
        <rFont val="Arial"/>
        <family val="0"/>
      </rPr>
      <t>/(2</t>
    </r>
    <r>
      <rPr>
        <i/>
        <sz val="10"/>
        <rFont val="Arial"/>
        <family val="2"/>
      </rPr>
      <t>b</t>
    </r>
    <r>
      <rPr>
        <sz val="10"/>
        <rFont val="Arial"/>
        <family val="0"/>
      </rPr>
      <t>)]</t>
    </r>
  </si>
  <si>
    <t xml:space="preserve">Depth to ultimate pivot point for all but purely cohesive soils </t>
  </si>
  <si>
    <r>
      <t>V</t>
    </r>
    <r>
      <rPr>
        <i/>
        <vertAlign val="subscript"/>
        <sz val="10"/>
        <rFont val="Arial"/>
        <family val="2"/>
      </rPr>
      <t>U</t>
    </r>
    <r>
      <rPr>
        <sz val="10"/>
        <rFont val="Arial"/>
        <family val="2"/>
      </rPr>
      <t>/(18</t>
    </r>
    <r>
      <rPr>
        <i/>
        <sz val="10"/>
        <rFont val="Arial"/>
        <family val="2"/>
      </rPr>
      <t>bS</t>
    </r>
    <r>
      <rPr>
        <i/>
        <vertAlign val="subscript"/>
        <sz val="10"/>
        <rFont val="Arial"/>
        <family val="2"/>
      </rPr>
      <t>U</t>
    </r>
    <r>
      <rPr>
        <sz val="10"/>
        <rFont val="Arial"/>
        <family val="2"/>
      </rPr>
      <t xml:space="preserve">) + </t>
    </r>
    <r>
      <rPr>
        <i/>
        <sz val="10"/>
        <rFont val="Arial"/>
        <family val="2"/>
      </rPr>
      <t>d</t>
    </r>
    <r>
      <rPr>
        <sz val="10"/>
        <rFont val="Arial"/>
        <family val="2"/>
      </rPr>
      <t>/2 + 2</t>
    </r>
    <r>
      <rPr>
        <i/>
        <sz val="10"/>
        <rFont val="Arial"/>
        <family val="2"/>
      </rPr>
      <t>b</t>
    </r>
    <r>
      <rPr>
        <sz val="10"/>
        <rFont val="Arial"/>
        <family val="2"/>
      </rPr>
      <t>/3</t>
    </r>
  </si>
  <si>
    <r>
      <t>(</t>
    </r>
    <r>
      <rPr>
        <i/>
        <sz val="10"/>
        <rFont val="Arial"/>
        <family val="2"/>
      </rPr>
      <t>X</t>
    </r>
    <r>
      <rPr>
        <vertAlign val="superscript"/>
        <sz val="10"/>
        <rFont val="Arial"/>
        <family val="2"/>
      </rPr>
      <t xml:space="preserve">2 </t>
    </r>
    <r>
      <rPr>
        <sz val="10"/>
        <rFont val="Arial"/>
        <family val="0"/>
      </rPr>
      <t xml:space="preserve">+ </t>
    </r>
    <r>
      <rPr>
        <i/>
        <sz val="10"/>
        <rFont val="Arial"/>
        <family val="2"/>
      </rPr>
      <t>V</t>
    </r>
    <r>
      <rPr>
        <i/>
        <vertAlign val="subscript"/>
        <sz val="10"/>
        <rFont val="Arial"/>
        <family val="2"/>
      </rPr>
      <t>U</t>
    </r>
    <r>
      <rPr>
        <sz val="10"/>
        <rFont val="Arial"/>
        <family val="0"/>
      </rPr>
      <t>/</t>
    </r>
    <r>
      <rPr>
        <i/>
        <sz val="10"/>
        <rFont val="Arial"/>
        <family val="2"/>
      </rPr>
      <t>S</t>
    </r>
    <r>
      <rPr>
        <i/>
        <vertAlign val="subscript"/>
        <sz val="10"/>
        <rFont val="Arial"/>
        <family val="2"/>
      </rPr>
      <t xml:space="preserve">LU </t>
    </r>
    <r>
      <rPr>
        <sz val="10"/>
        <rFont val="Arial"/>
        <family val="0"/>
      </rPr>
      <t xml:space="preserve">+ </t>
    </r>
    <r>
      <rPr>
        <i/>
        <sz val="10"/>
        <rFont val="Arial"/>
        <family val="2"/>
      </rPr>
      <t>dX</t>
    </r>
    <r>
      <rPr>
        <sz val="10"/>
        <rFont val="Arial"/>
        <family val="0"/>
      </rPr>
      <t>+</t>
    </r>
    <r>
      <rPr>
        <i/>
        <sz val="10"/>
        <rFont val="Arial"/>
        <family val="2"/>
      </rPr>
      <t>d</t>
    </r>
    <r>
      <rPr>
        <vertAlign val="superscript"/>
        <sz val="10"/>
        <rFont val="Arial"/>
        <family val="2"/>
      </rPr>
      <t>2</t>
    </r>
    <r>
      <rPr>
        <sz val="10"/>
        <rFont val="Arial"/>
        <family val="0"/>
      </rPr>
      <t xml:space="preserve">/2 + </t>
    </r>
    <r>
      <rPr>
        <i/>
        <sz val="10"/>
        <rFont val="Arial"/>
        <family val="2"/>
      </rPr>
      <t>Xb</t>
    </r>
    <r>
      <rPr>
        <sz val="10"/>
        <rFont val="Arial"/>
        <family val="0"/>
      </rPr>
      <t>/2)</t>
    </r>
    <r>
      <rPr>
        <vertAlign val="superscript"/>
        <sz val="10"/>
        <rFont val="Arial"/>
        <family val="2"/>
      </rPr>
      <t>0.5</t>
    </r>
    <r>
      <rPr>
        <sz val="10"/>
        <rFont val="Arial"/>
        <family val="0"/>
      </rPr>
      <t xml:space="preserve"> - </t>
    </r>
    <r>
      <rPr>
        <i/>
        <sz val="10"/>
        <rFont val="Arial"/>
        <family val="2"/>
      </rPr>
      <t>X</t>
    </r>
  </si>
  <si>
    <r>
      <t>[64</t>
    </r>
    <r>
      <rPr>
        <i/>
        <sz val="10"/>
        <rFont val="Arial"/>
        <family val="2"/>
      </rPr>
      <t>b</t>
    </r>
    <r>
      <rPr>
        <vertAlign val="superscript"/>
        <sz val="10"/>
        <rFont val="Arial"/>
        <family val="2"/>
      </rPr>
      <t>2</t>
    </r>
    <r>
      <rPr>
        <sz val="10"/>
        <rFont val="Arial"/>
        <family val="2"/>
      </rPr>
      <t xml:space="preserve"> + 4</t>
    </r>
    <r>
      <rPr>
        <i/>
        <sz val="10"/>
        <rFont val="Arial"/>
        <family val="2"/>
      </rPr>
      <t>V</t>
    </r>
    <r>
      <rPr>
        <i/>
        <vertAlign val="subscript"/>
        <sz val="10"/>
        <rFont val="Arial"/>
        <family val="2"/>
      </rPr>
      <t>U</t>
    </r>
    <r>
      <rPr>
        <sz val="10"/>
        <rFont val="Arial"/>
        <family val="2"/>
      </rPr>
      <t>/(</t>
    </r>
    <r>
      <rPr>
        <i/>
        <sz val="10"/>
        <rFont val="Arial"/>
        <family val="2"/>
      </rPr>
      <t>3S</t>
    </r>
    <r>
      <rPr>
        <i/>
        <vertAlign val="subscript"/>
        <sz val="10"/>
        <rFont val="Arial"/>
        <family val="2"/>
      </rPr>
      <t>U</t>
    </r>
    <r>
      <rPr>
        <sz val="10"/>
        <rFont val="Arial"/>
        <family val="2"/>
      </rPr>
      <t xml:space="preserve">) +12 </t>
    </r>
    <r>
      <rPr>
        <i/>
        <sz val="10"/>
        <rFont val="Arial"/>
        <family val="2"/>
      </rPr>
      <t>bd]</t>
    </r>
    <r>
      <rPr>
        <vertAlign val="superscript"/>
        <sz val="10"/>
        <rFont val="Arial"/>
        <family val="2"/>
      </rPr>
      <t>0.5</t>
    </r>
    <r>
      <rPr>
        <sz val="10"/>
        <rFont val="Arial"/>
        <family val="2"/>
      </rPr>
      <t xml:space="preserve"> - 8</t>
    </r>
    <r>
      <rPr>
        <i/>
        <sz val="10"/>
        <rFont val="Arial"/>
        <family val="2"/>
      </rPr>
      <t>b</t>
    </r>
  </si>
  <si>
    <r>
      <t xml:space="preserve">Depth to ultimate pivot point  for purely cohesive soils with </t>
    </r>
    <r>
      <rPr>
        <i/>
        <sz val="10"/>
        <rFont val="Arial"/>
        <family val="2"/>
      </rPr>
      <t>d</t>
    </r>
    <r>
      <rPr>
        <i/>
        <vertAlign val="subscript"/>
        <sz val="10"/>
        <rFont val="Arial"/>
        <family val="2"/>
      </rPr>
      <t>RU</t>
    </r>
    <r>
      <rPr>
        <i/>
        <sz val="10"/>
        <rFont val="Arial"/>
        <family val="2"/>
      </rPr>
      <t xml:space="preserve"> </t>
    </r>
    <r>
      <rPr>
        <sz val="10"/>
        <rFont val="Arial"/>
        <family val="0"/>
      </rPr>
      <t>&lt; 4</t>
    </r>
    <r>
      <rPr>
        <i/>
        <sz val="10"/>
        <rFont val="Arial"/>
        <family val="2"/>
      </rPr>
      <t>b</t>
    </r>
  </si>
  <si>
    <r>
      <t xml:space="preserve">Depth to ultimate pivot point  for purely cohesive soils with </t>
    </r>
    <r>
      <rPr>
        <i/>
        <sz val="10"/>
        <rFont val="Arial"/>
        <family val="2"/>
      </rPr>
      <t>d</t>
    </r>
    <r>
      <rPr>
        <i/>
        <vertAlign val="subscript"/>
        <sz val="10"/>
        <rFont val="Arial"/>
        <family val="2"/>
      </rPr>
      <t>RU</t>
    </r>
    <r>
      <rPr>
        <i/>
        <sz val="10"/>
        <rFont val="Arial"/>
        <family val="2"/>
      </rPr>
      <t xml:space="preserve"> </t>
    </r>
    <r>
      <rPr>
        <sz val="10"/>
        <rFont val="Arial"/>
        <family val="0"/>
      </rPr>
      <t>&gt; 4</t>
    </r>
    <r>
      <rPr>
        <i/>
        <sz val="10"/>
        <rFont val="Arial"/>
        <family val="2"/>
      </rPr>
      <t>b</t>
    </r>
  </si>
  <si>
    <r>
      <t>b d</t>
    </r>
    <r>
      <rPr>
        <vertAlign val="superscript"/>
        <sz val="10"/>
        <rFont val="Arial"/>
        <family val="2"/>
      </rPr>
      <t>2</t>
    </r>
    <r>
      <rPr>
        <i/>
        <sz val="10"/>
        <rFont val="Arial"/>
        <family val="2"/>
      </rPr>
      <t>S</t>
    </r>
    <r>
      <rPr>
        <i/>
        <vertAlign val="subscript"/>
        <sz val="10"/>
        <rFont val="Arial"/>
        <family val="2"/>
      </rPr>
      <t>U</t>
    </r>
    <r>
      <rPr>
        <sz val="10"/>
        <rFont val="Arial"/>
        <family val="0"/>
      </rPr>
      <t xml:space="preserve">[3/2 + </t>
    </r>
    <r>
      <rPr>
        <i/>
        <sz val="10"/>
        <rFont val="Arial"/>
        <family val="2"/>
      </rPr>
      <t>d</t>
    </r>
    <r>
      <rPr>
        <sz val="10"/>
        <rFont val="Arial"/>
        <family val="0"/>
      </rPr>
      <t>/(2</t>
    </r>
    <r>
      <rPr>
        <i/>
        <sz val="10"/>
        <rFont val="Arial"/>
        <family val="2"/>
      </rPr>
      <t>b</t>
    </r>
    <r>
      <rPr>
        <sz val="10"/>
        <rFont val="Arial"/>
        <family val="0"/>
      </rPr>
      <t>)]</t>
    </r>
  </si>
  <si>
    <r>
      <t>b S</t>
    </r>
    <r>
      <rPr>
        <i/>
        <vertAlign val="subscript"/>
        <sz val="10"/>
        <rFont val="Arial"/>
        <family val="2"/>
      </rPr>
      <t>U</t>
    </r>
    <r>
      <rPr>
        <sz val="10"/>
        <rFont val="Arial"/>
        <family val="0"/>
      </rPr>
      <t>(4.5</t>
    </r>
    <r>
      <rPr>
        <i/>
        <sz val="10"/>
        <rFont val="Arial"/>
        <family val="2"/>
      </rPr>
      <t>d</t>
    </r>
    <r>
      <rPr>
        <vertAlign val="superscript"/>
        <sz val="10"/>
        <rFont val="Arial"/>
        <family val="2"/>
      </rPr>
      <t>2</t>
    </r>
    <r>
      <rPr>
        <sz val="10"/>
        <rFont val="Arial"/>
        <family val="0"/>
      </rPr>
      <t>-16</t>
    </r>
    <r>
      <rPr>
        <i/>
        <sz val="10"/>
        <rFont val="Arial"/>
        <family val="2"/>
      </rPr>
      <t>b</t>
    </r>
    <r>
      <rPr>
        <vertAlign val="superscript"/>
        <sz val="10"/>
        <rFont val="Arial"/>
        <family val="2"/>
      </rPr>
      <t>2</t>
    </r>
    <r>
      <rPr>
        <sz val="10"/>
        <rFont val="Arial"/>
        <family val="0"/>
      </rPr>
      <t>)</t>
    </r>
  </si>
  <si>
    <r>
      <t>Constrained post in cohesionless or mixed soils with</t>
    </r>
    <r>
      <rPr>
        <i/>
        <sz val="10"/>
        <rFont val="Arial"/>
        <family val="2"/>
      </rPr>
      <t xml:space="preserve"> d</t>
    </r>
    <r>
      <rPr>
        <sz val="10"/>
        <rFont val="Arial"/>
        <family val="0"/>
      </rPr>
      <t xml:space="preserve"> &gt; 4</t>
    </r>
    <r>
      <rPr>
        <i/>
        <sz val="10"/>
        <rFont val="Arial"/>
        <family val="2"/>
      </rPr>
      <t>b</t>
    </r>
  </si>
  <si>
    <r>
      <t xml:space="preserve">Constrained post in cohesionless or mixed soils with </t>
    </r>
    <r>
      <rPr>
        <i/>
        <sz val="10"/>
        <rFont val="Arial"/>
        <family val="2"/>
      </rPr>
      <t xml:space="preserve">d </t>
    </r>
    <r>
      <rPr>
        <sz val="10"/>
        <rFont val="Arial"/>
        <family val="0"/>
      </rPr>
      <t>&lt; 4</t>
    </r>
    <r>
      <rPr>
        <i/>
        <sz val="10"/>
        <rFont val="Arial"/>
        <family val="2"/>
      </rPr>
      <t>b</t>
    </r>
  </si>
  <si>
    <t>"0" = no, "1" =yes</t>
  </si>
  <si>
    <r>
      <t xml:space="preserve">Depends on value of </t>
    </r>
    <r>
      <rPr>
        <i/>
        <sz val="10"/>
        <rFont val="Arial"/>
        <family val="2"/>
      </rPr>
      <t>d</t>
    </r>
    <r>
      <rPr>
        <i/>
        <vertAlign val="subscript"/>
        <sz val="10"/>
        <rFont val="Arial"/>
        <family val="2"/>
      </rPr>
      <t>RU</t>
    </r>
    <r>
      <rPr>
        <i/>
        <sz val="10"/>
        <rFont val="Arial"/>
        <family val="2"/>
      </rPr>
      <t xml:space="preserve"> </t>
    </r>
    <r>
      <rPr>
        <sz val="10"/>
        <rFont val="Arial"/>
        <family val="2"/>
      </rPr>
      <t xml:space="preserve">and 4 </t>
    </r>
    <r>
      <rPr>
        <i/>
        <sz val="10"/>
        <rFont val="Arial"/>
        <family val="2"/>
      </rPr>
      <t>b</t>
    </r>
  </si>
  <si>
    <t>Depth to ultimate pivot point for purely cohesive soils</t>
  </si>
  <si>
    <r>
      <t>d</t>
    </r>
    <r>
      <rPr>
        <vertAlign val="superscript"/>
        <sz val="10"/>
        <rFont val="Arial"/>
        <family val="2"/>
      </rPr>
      <t xml:space="preserve">3 </t>
    </r>
    <r>
      <rPr>
        <i/>
        <sz val="10"/>
        <rFont val="Arial"/>
        <family val="2"/>
      </rPr>
      <t>b K</t>
    </r>
    <r>
      <rPr>
        <i/>
        <vertAlign val="subscript"/>
        <sz val="10"/>
        <rFont val="Arial"/>
        <family val="2"/>
      </rPr>
      <t xml:space="preserve">P </t>
    </r>
    <r>
      <rPr>
        <i/>
        <sz val="10"/>
        <rFont val="Symbol"/>
        <family val="1"/>
      </rPr>
      <t>g</t>
    </r>
    <r>
      <rPr>
        <sz val="10"/>
        <rFont val="Arial"/>
        <family val="0"/>
      </rPr>
      <t xml:space="preserve"> +</t>
    </r>
    <r>
      <rPr>
        <i/>
        <sz val="10"/>
        <rFont val="Arial"/>
        <family val="2"/>
      </rPr>
      <t xml:space="preserve"> b c K</t>
    </r>
    <r>
      <rPr>
        <i/>
        <vertAlign val="subscript"/>
        <sz val="10"/>
        <rFont val="Arial"/>
        <family val="2"/>
      </rPr>
      <t>P</t>
    </r>
    <r>
      <rPr>
        <vertAlign val="superscript"/>
        <sz val="10"/>
        <rFont val="Arial"/>
        <family val="2"/>
      </rPr>
      <t xml:space="preserve">0.5 </t>
    </r>
    <r>
      <rPr>
        <sz val="10"/>
        <rFont val="Arial"/>
        <family val="0"/>
      </rPr>
      <t>[3</t>
    </r>
    <r>
      <rPr>
        <i/>
        <sz val="10"/>
        <rFont val="Arial"/>
        <family val="2"/>
      </rPr>
      <t>d</t>
    </r>
    <r>
      <rPr>
        <vertAlign val="superscript"/>
        <sz val="10"/>
        <rFont val="Arial"/>
        <family val="2"/>
      </rPr>
      <t>2</t>
    </r>
    <r>
      <rPr>
        <sz val="10"/>
        <rFont val="Arial"/>
        <family val="0"/>
      </rPr>
      <t xml:space="preserve"> - 32</t>
    </r>
    <r>
      <rPr>
        <i/>
        <sz val="10"/>
        <rFont val="Arial"/>
        <family val="2"/>
      </rPr>
      <t>b</t>
    </r>
    <r>
      <rPr>
        <vertAlign val="superscript"/>
        <sz val="10"/>
        <rFont val="Arial"/>
        <family val="2"/>
      </rPr>
      <t>2</t>
    </r>
    <r>
      <rPr>
        <sz val="10"/>
        <rFont val="Arial"/>
        <family val="0"/>
      </rPr>
      <t>/3)</t>
    </r>
  </si>
  <si>
    <r>
      <t>d</t>
    </r>
    <r>
      <rPr>
        <i/>
        <vertAlign val="subscript"/>
        <sz val="10"/>
        <rFont val="Arial"/>
        <family val="2"/>
      </rPr>
      <t>RU</t>
    </r>
    <r>
      <rPr>
        <sz val="10"/>
        <rFont val="Arial"/>
        <family val="2"/>
      </rPr>
      <t xml:space="preserve"> / </t>
    </r>
    <r>
      <rPr>
        <i/>
        <sz val="10"/>
        <rFont val="Arial"/>
        <family val="2"/>
      </rPr>
      <t>d</t>
    </r>
  </si>
  <si>
    <t>Ratio of ultimate pivot point depth to foundation depth</t>
  </si>
  <si>
    <t>Maximum ultimate groundline moment</t>
  </si>
  <si>
    <r>
      <t>d</t>
    </r>
    <r>
      <rPr>
        <vertAlign val="superscript"/>
        <sz val="10"/>
        <rFont val="Arial"/>
        <family val="2"/>
      </rPr>
      <t>3</t>
    </r>
    <r>
      <rPr>
        <i/>
        <sz val="10"/>
        <rFont val="Arial"/>
        <family val="0"/>
      </rPr>
      <t xml:space="preserve"> b K</t>
    </r>
    <r>
      <rPr>
        <i/>
        <vertAlign val="subscript"/>
        <sz val="10"/>
        <rFont val="Arial"/>
        <family val="2"/>
      </rPr>
      <t>P</t>
    </r>
    <r>
      <rPr>
        <i/>
        <sz val="10"/>
        <rFont val="Arial"/>
        <family val="0"/>
      </rPr>
      <t xml:space="preserve"> </t>
    </r>
    <r>
      <rPr>
        <i/>
        <sz val="10"/>
        <rFont val="Symbol"/>
        <family val="1"/>
      </rPr>
      <t>g</t>
    </r>
    <r>
      <rPr>
        <i/>
        <sz val="10"/>
        <rFont val="Arial"/>
        <family val="0"/>
      </rPr>
      <t xml:space="preserve"> </t>
    </r>
    <r>
      <rPr>
        <sz val="10"/>
        <rFont val="Arial"/>
        <family val="0"/>
      </rPr>
      <t xml:space="preserve">+ </t>
    </r>
    <r>
      <rPr>
        <i/>
        <sz val="10"/>
        <rFont val="Arial"/>
        <family val="2"/>
      </rPr>
      <t>b d</t>
    </r>
    <r>
      <rPr>
        <vertAlign val="superscript"/>
        <sz val="10"/>
        <rFont val="Arial"/>
        <family val="2"/>
      </rPr>
      <t>2</t>
    </r>
    <r>
      <rPr>
        <sz val="10"/>
        <rFont val="Arial"/>
        <family val="0"/>
      </rPr>
      <t xml:space="preserve"> </t>
    </r>
    <r>
      <rPr>
        <i/>
        <sz val="10"/>
        <rFont val="Arial"/>
        <family val="2"/>
      </rPr>
      <t>c K</t>
    </r>
    <r>
      <rPr>
        <i/>
        <vertAlign val="subscript"/>
        <sz val="10"/>
        <rFont val="Arial"/>
        <family val="2"/>
      </rPr>
      <t>P</t>
    </r>
    <r>
      <rPr>
        <vertAlign val="superscript"/>
        <sz val="10"/>
        <rFont val="Arial"/>
        <family val="2"/>
      </rPr>
      <t>0.5</t>
    </r>
    <r>
      <rPr>
        <sz val="10"/>
        <rFont val="Arial"/>
        <family val="0"/>
      </rPr>
      <t xml:space="preserve"> [1 +</t>
    </r>
    <r>
      <rPr>
        <i/>
        <sz val="10"/>
        <rFont val="Arial"/>
        <family val="2"/>
      </rPr>
      <t>d</t>
    </r>
    <r>
      <rPr>
        <sz val="10"/>
        <rFont val="Arial"/>
        <family val="0"/>
      </rPr>
      <t>/(3</t>
    </r>
    <r>
      <rPr>
        <i/>
        <sz val="10"/>
        <rFont val="Arial"/>
        <family val="2"/>
      </rPr>
      <t>b</t>
    </r>
    <r>
      <rPr>
        <sz val="10"/>
        <rFont val="Arial"/>
        <family val="0"/>
      </rPr>
      <t>)]</t>
    </r>
  </si>
  <si>
    <r>
      <t>M</t>
    </r>
    <r>
      <rPr>
        <i/>
        <vertAlign val="subscript"/>
        <sz val="10"/>
        <rFont val="Arial"/>
        <family val="2"/>
      </rPr>
      <t>U</t>
    </r>
  </si>
  <si>
    <r>
      <t xml:space="preserve">Non-contrained post in purely cohesive soils with </t>
    </r>
    <r>
      <rPr>
        <i/>
        <sz val="10"/>
        <rFont val="Arial"/>
        <family val="2"/>
      </rPr>
      <t>d</t>
    </r>
    <r>
      <rPr>
        <i/>
        <vertAlign val="subscript"/>
        <sz val="10"/>
        <rFont val="Arial"/>
        <family val="2"/>
      </rPr>
      <t>RU</t>
    </r>
    <r>
      <rPr>
        <sz val="10"/>
        <rFont val="Arial"/>
        <family val="0"/>
      </rPr>
      <t xml:space="preserve"> &lt; 4</t>
    </r>
    <r>
      <rPr>
        <i/>
        <sz val="10"/>
        <rFont val="Arial"/>
        <family val="2"/>
      </rPr>
      <t>b</t>
    </r>
  </si>
  <si>
    <r>
      <t>V</t>
    </r>
    <r>
      <rPr>
        <b/>
        <i/>
        <vertAlign val="subscript"/>
        <sz val="12"/>
        <color indexed="9"/>
        <rFont val="Arial"/>
        <family val="2"/>
      </rPr>
      <t>U</t>
    </r>
    <r>
      <rPr>
        <b/>
        <i/>
        <sz val="12"/>
        <color indexed="9"/>
        <rFont val="Arial"/>
        <family val="2"/>
      </rPr>
      <t>-M</t>
    </r>
    <r>
      <rPr>
        <b/>
        <i/>
        <vertAlign val="subscript"/>
        <sz val="12"/>
        <color indexed="9"/>
        <rFont val="Arial"/>
        <family val="2"/>
      </rPr>
      <t>U</t>
    </r>
    <r>
      <rPr>
        <b/>
        <sz val="12"/>
        <color indexed="9"/>
        <rFont val="Arial"/>
        <family val="2"/>
      </rPr>
      <t xml:space="preserve"> Failure Envelope Data</t>
    </r>
  </si>
  <si>
    <t>Clockwise Foundation Rotation</t>
  </si>
  <si>
    <r>
      <t xml:space="preserve">Ultimate groundline shear capacity, </t>
    </r>
    <r>
      <rPr>
        <b/>
        <i/>
        <sz val="10"/>
        <rFont val="Arial"/>
        <family val="2"/>
      </rPr>
      <t>V</t>
    </r>
    <r>
      <rPr>
        <b/>
        <i/>
        <vertAlign val="subscript"/>
        <sz val="10"/>
        <rFont val="Arial"/>
        <family val="2"/>
      </rPr>
      <t>U</t>
    </r>
  </si>
  <si>
    <r>
      <t>M</t>
    </r>
    <r>
      <rPr>
        <b/>
        <i/>
        <vertAlign val="subscript"/>
        <sz val="10"/>
        <rFont val="Arial"/>
        <family val="2"/>
      </rPr>
      <t>U</t>
    </r>
    <r>
      <rPr>
        <b/>
        <sz val="10"/>
        <rFont val="Arial"/>
        <family val="2"/>
      </rPr>
      <t>/</t>
    </r>
    <r>
      <rPr>
        <b/>
        <i/>
        <sz val="10"/>
        <rFont val="Arial"/>
        <family val="2"/>
      </rPr>
      <t>V</t>
    </r>
    <r>
      <rPr>
        <b/>
        <i/>
        <vertAlign val="subscript"/>
        <sz val="10"/>
        <rFont val="Arial"/>
        <family val="2"/>
      </rPr>
      <t>U</t>
    </r>
  </si>
  <si>
    <r>
      <t>Ultimate groundline bending moment capacity,</t>
    </r>
    <r>
      <rPr>
        <b/>
        <i/>
        <sz val="10"/>
        <rFont val="Arial"/>
        <family val="2"/>
      </rPr>
      <t xml:space="preserve"> M</t>
    </r>
    <r>
      <rPr>
        <b/>
        <i/>
        <vertAlign val="subscript"/>
        <sz val="10"/>
        <rFont val="Arial"/>
        <family val="2"/>
      </rPr>
      <t>U</t>
    </r>
  </si>
  <si>
    <r>
      <t>d</t>
    </r>
    <r>
      <rPr>
        <b/>
        <i/>
        <vertAlign val="subscript"/>
        <sz val="10"/>
        <rFont val="Arial"/>
        <family val="2"/>
      </rPr>
      <t>RU</t>
    </r>
    <r>
      <rPr>
        <b/>
        <sz val="10"/>
        <rFont val="Arial"/>
        <family val="2"/>
      </rPr>
      <t>/</t>
    </r>
    <r>
      <rPr>
        <b/>
        <i/>
        <sz val="10"/>
        <rFont val="Arial"/>
        <family val="2"/>
      </rPr>
      <t>d</t>
    </r>
  </si>
  <si>
    <t>Counter-Clockwise Foundation Rotation</t>
  </si>
  <si>
    <r>
      <t xml:space="preserve">Ultimate pivot point depth, </t>
    </r>
    <r>
      <rPr>
        <b/>
        <i/>
        <sz val="10"/>
        <rFont val="Arial"/>
        <family val="2"/>
      </rPr>
      <t>d</t>
    </r>
    <r>
      <rPr>
        <b/>
        <i/>
        <vertAlign val="subscript"/>
        <sz val="10"/>
        <rFont val="Arial"/>
        <family val="2"/>
      </rPr>
      <t>RU</t>
    </r>
  </si>
  <si>
    <r>
      <t xml:space="preserve">Required </t>
    </r>
    <r>
      <rPr>
        <i/>
        <sz val="10"/>
        <rFont val="Arial"/>
        <family val="2"/>
      </rPr>
      <t>M</t>
    </r>
    <r>
      <rPr>
        <i/>
        <vertAlign val="subscript"/>
        <sz val="10"/>
        <rFont val="Arial"/>
        <family val="2"/>
      </rPr>
      <t>U</t>
    </r>
    <r>
      <rPr>
        <sz val="10"/>
        <rFont val="Arial"/>
        <family val="0"/>
      </rPr>
      <t>:</t>
    </r>
    <r>
      <rPr>
        <i/>
        <sz val="10"/>
        <rFont val="Arial"/>
        <family val="2"/>
      </rPr>
      <t>V</t>
    </r>
    <r>
      <rPr>
        <i/>
        <vertAlign val="subscript"/>
        <sz val="10"/>
        <rFont val="Arial"/>
        <family val="2"/>
      </rPr>
      <t>U</t>
    </r>
    <r>
      <rPr>
        <sz val="10"/>
        <rFont val="Arial"/>
        <family val="0"/>
      </rPr>
      <t xml:space="preserve"> Ratio</t>
    </r>
  </si>
  <si>
    <r>
      <t xml:space="preserve">(Required </t>
    </r>
    <r>
      <rPr>
        <i/>
        <sz val="10"/>
        <rFont val="Arial"/>
        <family val="2"/>
      </rPr>
      <t>M</t>
    </r>
    <r>
      <rPr>
        <i/>
        <vertAlign val="subscript"/>
        <sz val="10"/>
        <rFont val="Arial"/>
        <family val="2"/>
      </rPr>
      <t>U</t>
    </r>
    <r>
      <rPr>
        <sz val="10"/>
        <rFont val="Arial"/>
        <family val="2"/>
      </rPr>
      <t>)/(Required</t>
    </r>
    <r>
      <rPr>
        <i/>
        <sz val="10"/>
        <rFont val="Arial"/>
        <family val="2"/>
      </rPr>
      <t xml:space="preserve"> V</t>
    </r>
    <r>
      <rPr>
        <i/>
        <vertAlign val="subscript"/>
        <sz val="10"/>
        <rFont val="Arial"/>
        <family val="2"/>
      </rPr>
      <t>U</t>
    </r>
    <r>
      <rPr>
        <sz val="10"/>
        <rFont val="Arial"/>
        <family val="2"/>
      </rPr>
      <t>)</t>
    </r>
  </si>
  <si>
    <t xml:space="preserve">Is pier/post horizontally constrained at grade (i.e., ground surface)? </t>
  </si>
  <si>
    <t>Maximum LRFD  Groundline Moment</t>
  </si>
  <si>
    <r>
      <t>Max</t>
    </r>
    <r>
      <rPr>
        <i/>
        <sz val="10"/>
        <rFont val="Arial"/>
        <family val="2"/>
      </rPr>
      <t xml:space="preserve"> M</t>
    </r>
    <r>
      <rPr>
        <i/>
        <vertAlign val="subscript"/>
        <sz val="10"/>
        <rFont val="Arial"/>
        <family val="2"/>
      </rPr>
      <t>LRFD</t>
    </r>
  </si>
  <si>
    <r>
      <t>Max</t>
    </r>
    <r>
      <rPr>
        <i/>
        <sz val="10"/>
        <rFont val="Arial"/>
        <family val="2"/>
      </rPr>
      <t xml:space="preserve"> M</t>
    </r>
    <r>
      <rPr>
        <i/>
        <vertAlign val="subscript"/>
        <sz val="10"/>
        <rFont val="Arial"/>
        <family val="2"/>
      </rPr>
      <t>ASD</t>
    </r>
  </si>
  <si>
    <r>
      <t>M</t>
    </r>
    <r>
      <rPr>
        <i/>
        <vertAlign val="subscript"/>
        <sz val="10"/>
        <rFont val="Arial"/>
        <family val="2"/>
      </rPr>
      <t>U</t>
    </r>
    <r>
      <rPr>
        <sz val="10"/>
        <rFont val="Arial"/>
        <family val="2"/>
      </rPr>
      <t>/</t>
    </r>
    <r>
      <rPr>
        <i/>
        <sz val="10"/>
        <rFont val="Arial"/>
        <family val="2"/>
      </rPr>
      <t>f</t>
    </r>
    <r>
      <rPr>
        <i/>
        <vertAlign val="subscript"/>
        <sz val="10"/>
        <rFont val="Arial"/>
        <family val="2"/>
      </rPr>
      <t>L</t>
    </r>
  </si>
  <si>
    <r>
      <t>M</t>
    </r>
    <r>
      <rPr>
        <i/>
        <vertAlign val="subscript"/>
        <sz val="10"/>
        <rFont val="Arial"/>
        <family val="2"/>
      </rPr>
      <t>U</t>
    </r>
    <r>
      <rPr>
        <i/>
        <sz val="10"/>
        <rFont val="Arial"/>
        <family val="2"/>
      </rPr>
      <t>R</t>
    </r>
    <r>
      <rPr>
        <i/>
        <vertAlign val="subscript"/>
        <sz val="10"/>
        <rFont val="Arial"/>
        <family val="2"/>
      </rPr>
      <t>L</t>
    </r>
  </si>
  <si>
    <t>ASAE EP 486.3 Table 5 - LRFD Resistance Factors and ASD Safety Factors for Uplift Strength Assessment</t>
  </si>
  <si>
    <r>
      <t xml:space="preserve">Soil friction angle </t>
    </r>
    <r>
      <rPr>
        <i/>
        <sz val="9"/>
        <color indexed="8"/>
        <rFont val="Symbol"/>
        <family val="1"/>
      </rPr>
      <t>f</t>
    </r>
    <r>
      <rPr>
        <i/>
        <sz val="9"/>
        <color indexed="8"/>
        <rFont val="Arial"/>
        <family val="2"/>
      </rPr>
      <t xml:space="preserve"> </t>
    </r>
    <r>
      <rPr>
        <sz val="9"/>
        <color indexed="8"/>
        <rFont val="Arial"/>
        <family val="2"/>
      </rPr>
      <t>for</t>
    </r>
    <r>
      <rPr>
        <i/>
        <sz val="9"/>
        <color indexed="8"/>
        <rFont val="Arial"/>
        <family val="2"/>
      </rPr>
      <t xml:space="preserve"> </t>
    </r>
    <r>
      <rPr>
        <sz val="9"/>
        <color indexed="8"/>
        <rFont val="Arial"/>
        <family val="2"/>
      </rPr>
      <t>equations in clauses 11.4.1, 11.4.3, 11.4.4 and 11.4.6</t>
    </r>
  </si>
  <si>
    <r>
      <t xml:space="preserve">Soil friction angle </t>
    </r>
    <r>
      <rPr>
        <i/>
        <sz val="9"/>
        <color indexed="8"/>
        <rFont val="Symbol"/>
        <family val="1"/>
      </rPr>
      <t>f</t>
    </r>
    <r>
      <rPr>
        <i/>
        <sz val="9"/>
        <color indexed="8"/>
        <rFont val="Arial"/>
        <family val="2"/>
      </rPr>
      <t xml:space="preserve"> </t>
    </r>
    <r>
      <rPr>
        <sz val="9"/>
        <color indexed="8"/>
        <rFont val="Arial"/>
        <family val="2"/>
      </rPr>
      <t>for</t>
    </r>
    <r>
      <rPr>
        <i/>
        <sz val="9"/>
        <color indexed="8"/>
        <rFont val="Arial"/>
        <family val="2"/>
      </rPr>
      <t xml:space="preserve"> </t>
    </r>
    <r>
      <rPr>
        <sz val="9"/>
        <color indexed="8"/>
        <rFont val="Arial"/>
        <family val="2"/>
      </rPr>
      <t>equations in clauses 11.4.1 and 11.4.4</t>
    </r>
  </si>
  <si>
    <r>
      <t xml:space="preserve">Undrained shear strength </t>
    </r>
    <r>
      <rPr>
        <i/>
        <sz val="9"/>
        <color indexed="8"/>
        <rFont val="Arial"/>
        <family val="2"/>
      </rPr>
      <t>S</t>
    </r>
    <r>
      <rPr>
        <i/>
        <vertAlign val="subscript"/>
        <sz val="9"/>
        <color indexed="8"/>
        <rFont val="Arial"/>
        <family val="2"/>
      </rPr>
      <t>U</t>
    </r>
    <r>
      <rPr>
        <sz val="9"/>
        <color indexed="8"/>
        <rFont val="Arial"/>
        <family val="2"/>
      </rPr>
      <t xml:space="preserve"> for equations in clauses 11.4.2 and 11.4.5</t>
    </r>
  </si>
  <si>
    <t>ASAE EP486.3 Table 4 - LRFD Resistance Factors and ASD Safety Factors for Lateral Strength Assessment using the Simplified Method of Analysis</t>
  </si>
  <si>
    <r>
      <t>LRFD resistance factor for lateral strength assessment,</t>
    </r>
    <r>
      <rPr>
        <b/>
        <i/>
        <sz val="10"/>
        <color indexed="8"/>
        <rFont val="Arial"/>
        <family val="2"/>
      </rPr>
      <t xml:space="preserve"> R</t>
    </r>
    <r>
      <rPr>
        <b/>
        <i/>
        <vertAlign val="subscript"/>
        <sz val="10"/>
        <color indexed="8"/>
        <rFont val="Arial"/>
        <family val="2"/>
      </rPr>
      <t>L</t>
    </r>
    <r>
      <rPr>
        <b/>
        <vertAlign val="superscript"/>
        <sz val="10"/>
        <color indexed="8"/>
        <rFont val="Arial"/>
        <family val="2"/>
      </rPr>
      <t xml:space="preserve"> (b)</t>
    </r>
  </si>
  <si>
    <r>
      <t xml:space="preserve">ASD safety factor for lateral strength assessment, </t>
    </r>
    <r>
      <rPr>
        <b/>
        <i/>
        <sz val="10"/>
        <color indexed="8"/>
        <rFont val="Arial"/>
        <family val="2"/>
      </rPr>
      <t>f</t>
    </r>
    <r>
      <rPr>
        <b/>
        <i/>
        <vertAlign val="subscript"/>
        <sz val="10"/>
        <color indexed="8"/>
        <rFont val="Arial"/>
        <family val="2"/>
      </rPr>
      <t>L</t>
    </r>
    <r>
      <rPr>
        <b/>
        <i/>
        <sz val="10"/>
        <color indexed="8"/>
        <rFont val="Arial"/>
        <family val="2"/>
      </rPr>
      <t xml:space="preserve"> </t>
    </r>
    <r>
      <rPr>
        <b/>
        <vertAlign val="superscript"/>
        <sz val="10"/>
        <color indexed="8"/>
        <rFont val="Arial"/>
        <family val="2"/>
      </rPr>
      <t>(b)</t>
    </r>
  </si>
  <si>
    <r>
      <t xml:space="preserve">Undrained shear strength </t>
    </r>
    <r>
      <rPr>
        <i/>
        <sz val="9"/>
        <color indexed="8"/>
        <rFont val="Arial"/>
        <family val="2"/>
      </rPr>
      <t>S</t>
    </r>
    <r>
      <rPr>
        <i/>
        <vertAlign val="subscript"/>
        <sz val="9"/>
        <color indexed="8"/>
        <rFont val="Arial"/>
        <family val="2"/>
      </rPr>
      <t>U</t>
    </r>
    <r>
      <rPr>
        <sz val="9"/>
        <color indexed="8"/>
        <rFont val="Arial"/>
        <family val="2"/>
      </rPr>
      <t xml:space="preserve"> for equations in clauses 11.4.2, 11.4.3, 11.4.5 and 11.4.6</t>
    </r>
  </si>
  <si>
    <r>
      <t xml:space="preserve">0.66 - 0.01 </t>
    </r>
    <r>
      <rPr>
        <i/>
        <sz val="10"/>
        <color indexed="8"/>
        <rFont val="Symbol"/>
        <family val="1"/>
      </rPr>
      <t xml:space="preserve">f </t>
    </r>
    <r>
      <rPr>
        <i/>
        <sz val="10"/>
        <color indexed="8"/>
        <rFont val="Arial"/>
        <family val="2"/>
      </rPr>
      <t>=</t>
    </r>
  </si>
  <si>
    <r>
      <t xml:space="preserve">0.76 - 0.01 </t>
    </r>
    <r>
      <rPr>
        <i/>
        <sz val="10"/>
        <color indexed="8"/>
        <rFont val="Symbol"/>
        <family val="1"/>
      </rPr>
      <t xml:space="preserve">f </t>
    </r>
    <r>
      <rPr>
        <i/>
        <sz val="10"/>
        <color indexed="8"/>
        <rFont val="Arial"/>
        <family val="2"/>
      </rPr>
      <t>=</t>
    </r>
  </si>
  <si>
    <r>
      <t xml:space="preserve">0.61 - 0.01 </t>
    </r>
    <r>
      <rPr>
        <i/>
        <sz val="10"/>
        <color indexed="8"/>
        <rFont val="Symbol"/>
        <family val="1"/>
      </rPr>
      <t>f</t>
    </r>
    <r>
      <rPr>
        <i/>
        <sz val="10"/>
        <color indexed="8"/>
        <rFont val="Arial"/>
        <family val="2"/>
      </rPr>
      <t xml:space="preserve"> =</t>
    </r>
  </si>
  <si>
    <r>
      <t xml:space="preserve">0.82 - 0.01 </t>
    </r>
    <r>
      <rPr>
        <i/>
        <sz val="10"/>
        <color indexed="8"/>
        <rFont val="Symbol"/>
        <family val="1"/>
      </rPr>
      <t>f</t>
    </r>
    <r>
      <rPr>
        <i/>
        <sz val="10"/>
        <color indexed="8"/>
        <rFont val="Arial"/>
        <family val="2"/>
      </rPr>
      <t xml:space="preserve"> =</t>
    </r>
  </si>
  <si>
    <r>
      <t xml:space="preserve">0.86 - 0.01 </t>
    </r>
    <r>
      <rPr>
        <i/>
        <sz val="10"/>
        <color indexed="8"/>
        <rFont val="Symbol"/>
        <family val="1"/>
      </rPr>
      <t xml:space="preserve">f </t>
    </r>
    <r>
      <rPr>
        <sz val="10"/>
        <color indexed="8"/>
        <rFont val="Arial"/>
        <family val="2"/>
      </rPr>
      <t>=</t>
    </r>
  </si>
  <si>
    <r>
      <t xml:space="preserve">1.4/(0.86 - 0.01 </t>
    </r>
    <r>
      <rPr>
        <i/>
        <sz val="10"/>
        <color indexed="8"/>
        <rFont val="Symbol"/>
        <family val="1"/>
      </rPr>
      <t>f</t>
    </r>
    <r>
      <rPr>
        <sz val="10"/>
        <color indexed="8"/>
        <rFont val="Arial"/>
        <family val="2"/>
      </rPr>
      <t>) =</t>
    </r>
  </si>
  <si>
    <r>
      <t>1.4/(0.66 - 0.01</t>
    </r>
    <r>
      <rPr>
        <sz val="10"/>
        <color indexed="8"/>
        <rFont val="Symbol"/>
        <family val="1"/>
      </rPr>
      <t xml:space="preserve"> </t>
    </r>
    <r>
      <rPr>
        <i/>
        <sz val="10"/>
        <color indexed="8"/>
        <rFont val="Symbol"/>
        <family val="1"/>
      </rPr>
      <t>f</t>
    </r>
    <r>
      <rPr>
        <sz val="10"/>
        <color indexed="8"/>
        <rFont val="Arial"/>
        <family val="2"/>
      </rPr>
      <t>) =</t>
    </r>
  </si>
  <si>
    <r>
      <t>1.4/(0.76 - 0.01</t>
    </r>
    <r>
      <rPr>
        <sz val="10"/>
        <color indexed="8"/>
        <rFont val="Symbol"/>
        <family val="1"/>
      </rPr>
      <t xml:space="preserve"> </t>
    </r>
    <r>
      <rPr>
        <i/>
        <sz val="10"/>
        <color indexed="8"/>
        <rFont val="Symbol"/>
        <family val="1"/>
      </rPr>
      <t>f</t>
    </r>
    <r>
      <rPr>
        <sz val="10"/>
        <color indexed="8"/>
        <rFont val="Arial"/>
        <family val="2"/>
      </rPr>
      <t>) =</t>
    </r>
  </si>
  <si>
    <r>
      <t xml:space="preserve">1.4/(0.61 - 0.01 </t>
    </r>
    <r>
      <rPr>
        <i/>
        <sz val="10"/>
        <color indexed="8"/>
        <rFont val="Symbol"/>
        <family val="1"/>
      </rPr>
      <t>f</t>
    </r>
    <r>
      <rPr>
        <sz val="10"/>
        <color indexed="8"/>
        <rFont val="Arial"/>
        <family val="2"/>
      </rPr>
      <t>) =</t>
    </r>
  </si>
  <si>
    <r>
      <t xml:space="preserve">1.4/(0.82 - 0.01 </t>
    </r>
    <r>
      <rPr>
        <i/>
        <sz val="10"/>
        <color indexed="8"/>
        <rFont val="Symbol"/>
        <family val="1"/>
      </rPr>
      <t>f</t>
    </r>
    <r>
      <rPr>
        <sz val="10"/>
        <color indexed="8"/>
        <rFont val="Arial"/>
        <family val="2"/>
      </rPr>
      <t>) =</t>
    </r>
  </si>
  <si>
    <r>
      <t xml:space="preserve">(b) </t>
    </r>
    <r>
      <rPr>
        <sz val="10"/>
        <color indexed="8"/>
        <rFont val="Arial"/>
        <family val="2"/>
      </rPr>
      <t>In all cases,</t>
    </r>
    <r>
      <rPr>
        <vertAlign val="superscript"/>
        <sz val="10"/>
        <color indexed="8"/>
        <rFont val="Arial"/>
        <family val="2"/>
      </rPr>
      <t xml:space="preserve"> </t>
    </r>
    <r>
      <rPr>
        <i/>
        <sz val="10"/>
        <color indexed="8"/>
        <rFont val="Arial"/>
        <family val="2"/>
      </rPr>
      <t>R</t>
    </r>
    <r>
      <rPr>
        <i/>
        <vertAlign val="subscript"/>
        <sz val="10"/>
        <color indexed="8"/>
        <rFont val="Arial"/>
        <family val="2"/>
      </rPr>
      <t xml:space="preserve">L </t>
    </r>
    <r>
      <rPr>
        <sz val="10"/>
        <color indexed="8"/>
        <rFont val="Arial"/>
        <family val="2"/>
      </rPr>
      <t xml:space="preserve">is limited to a maximum value of 0.93 and </t>
    </r>
    <r>
      <rPr>
        <i/>
        <sz val="10"/>
        <color indexed="8"/>
        <rFont val="Arial"/>
        <family val="2"/>
      </rPr>
      <t>f</t>
    </r>
    <r>
      <rPr>
        <i/>
        <vertAlign val="subscript"/>
        <sz val="10"/>
        <color indexed="8"/>
        <rFont val="Arial"/>
        <family val="2"/>
      </rPr>
      <t>L</t>
    </r>
    <r>
      <rPr>
        <sz val="10"/>
        <color indexed="8"/>
        <rFont val="Arial"/>
        <family val="2"/>
      </rPr>
      <t xml:space="preserve"> is limited to a minimum value of 1.50.</t>
    </r>
  </si>
  <si>
    <r>
      <t>(c)</t>
    </r>
    <r>
      <rPr>
        <sz val="10"/>
        <rFont val="Arial"/>
        <family val="0"/>
      </rPr>
      <t xml:space="preserve"> For buildings and other structures that represent a low risk to humans in the event of a failure. </t>
    </r>
    <r>
      <rPr>
        <i/>
        <sz val="10"/>
        <rFont val="Arial"/>
        <family val="2"/>
      </rPr>
      <t>R</t>
    </r>
    <r>
      <rPr>
        <i/>
        <vertAlign val="subscript"/>
        <sz val="10"/>
        <rFont val="Arial"/>
        <family val="2"/>
      </rPr>
      <t>L</t>
    </r>
    <r>
      <rPr>
        <sz val="10"/>
        <rFont val="Arial"/>
        <family val="0"/>
      </rPr>
      <t xml:space="preserve"> values increased by 25% and </t>
    </r>
    <r>
      <rPr>
        <i/>
        <sz val="10"/>
        <rFont val="Arial"/>
        <family val="2"/>
      </rPr>
      <t>f</t>
    </r>
    <r>
      <rPr>
        <i/>
        <vertAlign val="subscript"/>
        <sz val="10"/>
        <rFont val="Arial"/>
        <family val="2"/>
      </rPr>
      <t>L</t>
    </r>
    <r>
      <rPr>
        <sz val="10"/>
        <rFont val="Arial"/>
        <family val="0"/>
      </rPr>
      <t xml:space="preserve"> values reduced by 20%</t>
    </r>
  </si>
  <si>
    <t>Alerts</t>
  </si>
  <si>
    <t>Vertical extent of the uplift soil failure for cohesionless soil (Clause 12.5.1)</t>
  </si>
  <si>
    <t xml:space="preserve">Uplift Strength Assessment </t>
  </si>
  <si>
    <t>Foundation Mass Estimator</t>
  </si>
  <si>
    <t>Component ID</t>
  </si>
  <si>
    <t>Round component dimensions</t>
  </si>
  <si>
    <t>Rectangular component dimensions</t>
  </si>
  <si>
    <t>Component Mass</t>
  </si>
  <si>
    <t>Length or thickness</t>
  </si>
  <si>
    <t>Diameter</t>
  </si>
  <si>
    <t>Length</t>
  </si>
  <si>
    <t>Component Description</t>
  </si>
  <si>
    <t>Sum</t>
  </si>
  <si>
    <t>Hardware</t>
  </si>
  <si>
    <r>
      <t>(a)</t>
    </r>
    <r>
      <rPr>
        <sz val="10"/>
        <rFont val="Arial"/>
        <family val="0"/>
      </rPr>
      <t xml:space="preserve"> Common mass densities: Concrete = 150 lbm/ft</t>
    </r>
    <r>
      <rPr>
        <vertAlign val="superscript"/>
        <sz val="10"/>
        <rFont val="Arial"/>
        <family val="2"/>
      </rPr>
      <t>3</t>
    </r>
    <r>
      <rPr>
        <sz val="10"/>
        <rFont val="Arial"/>
        <family val="0"/>
      </rPr>
      <t>; Steel = 490 lbm/ft</t>
    </r>
    <r>
      <rPr>
        <vertAlign val="superscript"/>
        <sz val="10"/>
        <rFont val="Arial"/>
        <family val="2"/>
      </rPr>
      <t>3</t>
    </r>
    <r>
      <rPr>
        <sz val="10"/>
        <rFont val="Arial"/>
        <family val="0"/>
      </rPr>
      <t>; HDPE Plastic = 60 lbm/ft</t>
    </r>
    <r>
      <rPr>
        <vertAlign val="superscript"/>
        <sz val="10"/>
        <rFont val="Arial"/>
        <family val="2"/>
      </rPr>
      <t>3</t>
    </r>
    <r>
      <rPr>
        <sz val="10"/>
        <rFont val="Arial"/>
        <family val="0"/>
      </rPr>
      <t>; 0.55 SG Wood = 34 lbm/ft</t>
    </r>
    <r>
      <rPr>
        <vertAlign val="superscript"/>
        <sz val="10"/>
        <rFont val="Arial"/>
        <family val="2"/>
      </rPr>
      <t>3</t>
    </r>
  </si>
  <si>
    <r>
      <t xml:space="preserve">Component mass density </t>
    </r>
    <r>
      <rPr>
        <vertAlign val="superscript"/>
        <sz val="10"/>
        <rFont val="Arial"/>
        <family val="2"/>
      </rPr>
      <t>(a)(b)</t>
    </r>
  </si>
  <si>
    <r>
      <t>(b)</t>
    </r>
    <r>
      <rPr>
        <sz val="10"/>
        <rFont val="Arial"/>
        <family val="0"/>
      </rPr>
      <t xml:space="preserve"> Enter a negative value for density to subtract a quantity from the total</t>
    </r>
  </si>
  <si>
    <t>Wood Post</t>
  </si>
  <si>
    <t>Concrete Collar</t>
  </si>
  <si>
    <t>Center of Concrete Collar</t>
  </si>
  <si>
    <t>Rebar</t>
  </si>
  <si>
    <t>Foundation Mass Estimator - Example</t>
  </si>
  <si>
    <t>Non-attached Concrete Footing</t>
  </si>
  <si>
    <t xml:space="preserve">Below grade portion of the foundation consists of 48 inches of a three-ply post fabricated from nominal 2- by 6-inch lumber that rests on (but is not attached to) a precast concrete footing that is 6 inches thick with a diameter of 18 inches.  For uplift resistance (and additional lateral resistance), a concrete collar is cast around the post.  Two 16 inch long, U.S. No. 4 rebars are used to afix the collar to the post. Since the footing is not attached to the rest of the foundation, it does not provide uplift anchorage and therefore is assigned a zero mass density. The concrete collar mass of 265.1 includes concrete that is displaced by the wood post.  This quantity (25.8 lbm) is subtracted from the total by assigning a negative density to the "center of concrete collar". </t>
  </si>
  <si>
    <t>Estimate using table to the far right</t>
  </si>
  <si>
    <t>Miscellaneous</t>
  </si>
  <si>
    <t>ASAE EP 486.3 Clause 10.4</t>
  </si>
  <si>
    <t>ASAE EP 486.3 Clause 10.2</t>
  </si>
  <si>
    <t>ASAE EP 486.3 Clause 10.3</t>
  </si>
  <si>
    <r>
      <t xml:space="preserve">Fill in the yellow cell(s) in the table below that corresponds to the methodology you are applying.  Transfer resulting </t>
    </r>
    <r>
      <rPr>
        <b/>
        <i/>
        <sz val="10"/>
        <rFont val="Arial"/>
        <family val="2"/>
      </rPr>
      <t>q</t>
    </r>
    <r>
      <rPr>
        <b/>
        <i/>
        <vertAlign val="subscript"/>
        <sz val="10"/>
        <rFont val="Arial"/>
        <family val="2"/>
      </rPr>
      <t>B</t>
    </r>
    <r>
      <rPr>
        <b/>
        <sz val="10"/>
        <rFont val="Arial"/>
        <family val="2"/>
      </rPr>
      <t xml:space="preserve"> value to table above.</t>
    </r>
  </si>
  <si>
    <r>
      <t>q</t>
    </r>
    <r>
      <rPr>
        <b/>
        <i/>
        <vertAlign val="subscript"/>
        <sz val="12"/>
        <color indexed="9"/>
        <rFont val="Arial"/>
        <family val="2"/>
      </rPr>
      <t>B</t>
    </r>
    <r>
      <rPr>
        <b/>
        <i/>
        <sz val="12"/>
        <color indexed="9"/>
        <rFont val="Arial"/>
        <family val="2"/>
      </rPr>
      <t xml:space="preserve"> </t>
    </r>
    <r>
      <rPr>
        <b/>
        <sz val="12"/>
        <color indexed="9"/>
        <rFont val="Arial"/>
        <family val="2"/>
      </rPr>
      <t>for Saturated Clay Soils from Cone Penetration Test (CPT) Results (Clause 10.4.3)</t>
    </r>
  </si>
  <si>
    <r>
      <t>q</t>
    </r>
    <r>
      <rPr>
        <b/>
        <i/>
        <vertAlign val="subscript"/>
        <sz val="12"/>
        <color indexed="9"/>
        <rFont val="Arial"/>
        <family val="2"/>
      </rPr>
      <t>B</t>
    </r>
    <r>
      <rPr>
        <b/>
        <i/>
        <sz val="12"/>
        <color indexed="9"/>
        <rFont val="Arial"/>
        <family val="2"/>
      </rPr>
      <t xml:space="preserve"> </t>
    </r>
    <r>
      <rPr>
        <b/>
        <sz val="12"/>
        <color indexed="9"/>
        <rFont val="Arial"/>
        <family val="2"/>
      </rPr>
      <t>for Sands from Standard Penetration Test (SPT) Results (Clause 10.4.2)</t>
    </r>
  </si>
  <si>
    <r>
      <t>q</t>
    </r>
    <r>
      <rPr>
        <b/>
        <i/>
        <vertAlign val="subscript"/>
        <sz val="12"/>
        <color indexed="9"/>
        <rFont val="Arial"/>
        <family val="2"/>
      </rPr>
      <t>B</t>
    </r>
    <r>
      <rPr>
        <b/>
        <i/>
        <sz val="12"/>
        <color indexed="9"/>
        <rFont val="Arial"/>
        <family val="2"/>
      </rPr>
      <t xml:space="preserve"> </t>
    </r>
    <r>
      <rPr>
        <b/>
        <sz val="12"/>
        <color indexed="9"/>
        <rFont val="Arial"/>
        <family val="2"/>
      </rPr>
      <t>for Cohesionless Soils from the General Bearing Capacity Equation (Clause 10.4.1)</t>
    </r>
  </si>
  <si>
    <r>
      <t>q</t>
    </r>
    <r>
      <rPr>
        <b/>
        <i/>
        <vertAlign val="subscript"/>
        <sz val="12"/>
        <color indexed="9"/>
        <rFont val="Arial"/>
        <family val="2"/>
      </rPr>
      <t>B</t>
    </r>
    <r>
      <rPr>
        <b/>
        <i/>
        <sz val="12"/>
        <color indexed="9"/>
        <rFont val="Arial"/>
        <family val="2"/>
      </rPr>
      <t xml:space="preserve"> </t>
    </r>
    <r>
      <rPr>
        <b/>
        <sz val="12"/>
        <color indexed="9"/>
        <rFont val="Arial"/>
        <family val="2"/>
      </rPr>
      <t>for Saturated Clay from the General Bearing Capacity Equation (Clause 10.4.1)</t>
    </r>
  </si>
  <si>
    <r>
      <t>q</t>
    </r>
    <r>
      <rPr>
        <b/>
        <i/>
        <vertAlign val="subscript"/>
        <sz val="12"/>
        <color indexed="9"/>
        <rFont val="Arial"/>
        <family val="2"/>
      </rPr>
      <t>B</t>
    </r>
    <r>
      <rPr>
        <b/>
        <i/>
        <sz val="12"/>
        <color indexed="9"/>
        <rFont val="Arial"/>
        <family val="2"/>
      </rPr>
      <t xml:space="preserve"> </t>
    </r>
    <r>
      <rPr>
        <b/>
        <sz val="12"/>
        <color indexed="9"/>
        <rFont val="Arial"/>
        <family val="2"/>
      </rPr>
      <t>for Cohesionless Soils from Cone Penetration Test (CPT) Results (Clause 10.4.3)</t>
    </r>
  </si>
  <si>
    <r>
      <t>q</t>
    </r>
    <r>
      <rPr>
        <b/>
        <i/>
        <vertAlign val="subscript"/>
        <sz val="12"/>
        <color indexed="9"/>
        <rFont val="Arial"/>
        <family val="2"/>
      </rPr>
      <t>B</t>
    </r>
    <r>
      <rPr>
        <b/>
        <i/>
        <sz val="12"/>
        <color indexed="9"/>
        <rFont val="Arial"/>
        <family val="2"/>
      </rPr>
      <t xml:space="preserve"> </t>
    </r>
    <r>
      <rPr>
        <b/>
        <sz val="12"/>
        <color indexed="9"/>
        <rFont val="Arial"/>
        <family val="2"/>
      </rPr>
      <t>for Sands from Pressuremeter Test (PMT) Results (Clause 10.4.4)</t>
    </r>
  </si>
  <si>
    <r>
      <t>q</t>
    </r>
    <r>
      <rPr>
        <b/>
        <i/>
        <vertAlign val="subscript"/>
        <sz val="12"/>
        <color indexed="9"/>
        <rFont val="Arial"/>
        <family val="2"/>
      </rPr>
      <t>B</t>
    </r>
    <r>
      <rPr>
        <b/>
        <i/>
        <sz val="12"/>
        <color indexed="9"/>
        <rFont val="Arial"/>
        <family val="2"/>
      </rPr>
      <t xml:space="preserve"> </t>
    </r>
    <r>
      <rPr>
        <b/>
        <sz val="12"/>
        <color indexed="9"/>
        <rFont val="Arial"/>
        <family val="2"/>
      </rPr>
      <t>for Silts from Pressuremeter Test (PMT) Results (Clause 10.4.4)</t>
    </r>
  </si>
  <si>
    <r>
      <t>q</t>
    </r>
    <r>
      <rPr>
        <b/>
        <i/>
        <vertAlign val="subscript"/>
        <sz val="12"/>
        <color indexed="9"/>
        <rFont val="Arial"/>
        <family val="2"/>
      </rPr>
      <t>B</t>
    </r>
    <r>
      <rPr>
        <b/>
        <i/>
        <sz val="12"/>
        <color indexed="9"/>
        <rFont val="Arial"/>
        <family val="2"/>
      </rPr>
      <t xml:space="preserve"> </t>
    </r>
    <r>
      <rPr>
        <b/>
        <sz val="12"/>
        <color indexed="9"/>
        <rFont val="Arial"/>
        <family val="2"/>
      </rPr>
      <t>for Clays from Pressuremeter Test (PMT) Results (Clause 10.4.4)</t>
    </r>
  </si>
  <si>
    <r>
      <t>(a)</t>
    </r>
    <r>
      <rPr>
        <sz val="10"/>
        <color indexed="8"/>
        <rFont val="Arial"/>
        <family val="2"/>
      </rPr>
      <t xml:space="preserve"> Clause in ASAE EP 486.3 containing the </t>
    </r>
    <r>
      <rPr>
        <i/>
        <sz val="10"/>
        <color indexed="8"/>
        <rFont val="Arial"/>
        <family val="2"/>
      </rPr>
      <t>q</t>
    </r>
    <r>
      <rPr>
        <i/>
        <vertAlign val="subscript"/>
        <sz val="10"/>
        <color indexed="8"/>
        <rFont val="Arial"/>
        <family val="2"/>
      </rPr>
      <t>B</t>
    </r>
    <r>
      <rPr>
        <sz val="10"/>
        <color indexed="8"/>
        <rFont val="Arial"/>
        <family val="2"/>
      </rPr>
      <t xml:space="preserve"> equation to which the resistance/safety factor applies.</t>
    </r>
  </si>
  <si>
    <r>
      <t>Associated clause</t>
    </r>
    <r>
      <rPr>
        <b/>
        <vertAlign val="superscript"/>
        <sz val="10"/>
        <rFont val="Arial"/>
        <family val="2"/>
      </rPr>
      <t xml:space="preserve"> (a)</t>
    </r>
  </si>
  <si>
    <r>
      <t xml:space="preserve">Method used to determine ultimate bearing capacity </t>
    </r>
    <r>
      <rPr>
        <b/>
        <i/>
        <sz val="10"/>
        <rFont val="Arial"/>
        <family val="2"/>
      </rPr>
      <t>q</t>
    </r>
    <r>
      <rPr>
        <b/>
        <i/>
        <vertAlign val="subscript"/>
        <sz val="10"/>
        <rFont val="Arial"/>
        <family val="2"/>
      </rPr>
      <t>B</t>
    </r>
  </si>
  <si>
    <r>
      <t>ASD safety factor for bearing strength assessment,</t>
    </r>
    <r>
      <rPr>
        <b/>
        <i/>
        <sz val="10"/>
        <color indexed="8"/>
        <rFont val="Arial"/>
        <family val="2"/>
      </rPr>
      <t xml:space="preserve"> f</t>
    </r>
    <r>
      <rPr>
        <b/>
        <i/>
        <vertAlign val="subscript"/>
        <sz val="10"/>
        <color indexed="8"/>
        <rFont val="Arial"/>
        <family val="2"/>
      </rPr>
      <t>B</t>
    </r>
    <r>
      <rPr>
        <b/>
        <vertAlign val="superscript"/>
        <sz val="10"/>
        <color indexed="8"/>
        <rFont val="Arial"/>
        <family val="2"/>
      </rPr>
      <t xml:space="preserve"> (b)</t>
    </r>
  </si>
  <si>
    <r>
      <t xml:space="preserve">LRFD resistance factor for bearing strength assessment, </t>
    </r>
    <r>
      <rPr>
        <b/>
        <i/>
        <sz val="10"/>
        <color indexed="8"/>
        <rFont val="Arial"/>
        <family val="2"/>
      </rPr>
      <t>R</t>
    </r>
    <r>
      <rPr>
        <b/>
        <i/>
        <vertAlign val="subscript"/>
        <sz val="10"/>
        <color indexed="8"/>
        <rFont val="Arial"/>
        <family val="2"/>
      </rPr>
      <t>B</t>
    </r>
    <r>
      <rPr>
        <b/>
        <vertAlign val="subscript"/>
        <sz val="10"/>
        <color indexed="8"/>
        <rFont val="Arial"/>
        <family val="2"/>
      </rPr>
      <t xml:space="preserve"> </t>
    </r>
    <r>
      <rPr>
        <b/>
        <vertAlign val="superscript"/>
        <sz val="10"/>
        <color indexed="8"/>
        <rFont val="Arial"/>
        <family val="2"/>
      </rPr>
      <t>(b)</t>
    </r>
  </si>
  <si>
    <r>
      <t xml:space="preserve">(b) </t>
    </r>
    <r>
      <rPr>
        <sz val="10"/>
        <color indexed="8"/>
        <rFont val="Arial"/>
        <family val="2"/>
      </rPr>
      <t>In all cases,</t>
    </r>
    <r>
      <rPr>
        <vertAlign val="superscript"/>
        <sz val="10"/>
        <color indexed="8"/>
        <rFont val="Arial"/>
        <family val="2"/>
      </rPr>
      <t xml:space="preserve"> </t>
    </r>
    <r>
      <rPr>
        <i/>
        <sz val="10"/>
        <color indexed="8"/>
        <rFont val="Arial"/>
        <family val="2"/>
      </rPr>
      <t>R</t>
    </r>
    <r>
      <rPr>
        <i/>
        <vertAlign val="subscript"/>
        <sz val="10"/>
        <color indexed="8"/>
        <rFont val="Arial"/>
        <family val="2"/>
      </rPr>
      <t xml:space="preserve">B </t>
    </r>
    <r>
      <rPr>
        <sz val="10"/>
        <color indexed="8"/>
        <rFont val="Arial"/>
        <family val="2"/>
      </rPr>
      <t xml:space="preserve">is limited to a maximum value of 0.93 and </t>
    </r>
    <r>
      <rPr>
        <i/>
        <sz val="10"/>
        <color indexed="8"/>
        <rFont val="Arial"/>
        <family val="2"/>
      </rPr>
      <t>f</t>
    </r>
    <r>
      <rPr>
        <i/>
        <vertAlign val="subscript"/>
        <sz val="10"/>
        <color indexed="8"/>
        <rFont val="Arial"/>
        <family val="2"/>
      </rPr>
      <t>B</t>
    </r>
    <r>
      <rPr>
        <sz val="10"/>
        <color indexed="8"/>
        <rFont val="Arial"/>
        <family val="2"/>
      </rPr>
      <t xml:space="preserve"> is limited to a minimum value of 1.50.</t>
    </r>
  </si>
  <si>
    <r>
      <t>(c)</t>
    </r>
    <r>
      <rPr>
        <sz val="10"/>
        <rFont val="Arial"/>
        <family val="0"/>
      </rPr>
      <t xml:space="preserve"> For buildings and other structures that represent a low risk to humans in the event of a failure. </t>
    </r>
    <r>
      <rPr>
        <i/>
        <sz val="10"/>
        <rFont val="Arial"/>
        <family val="2"/>
      </rPr>
      <t>R</t>
    </r>
    <r>
      <rPr>
        <i/>
        <vertAlign val="subscript"/>
        <sz val="10"/>
        <rFont val="Arial"/>
        <family val="2"/>
      </rPr>
      <t>B</t>
    </r>
    <r>
      <rPr>
        <sz val="10"/>
        <rFont val="Arial"/>
        <family val="0"/>
      </rPr>
      <t xml:space="preserve"> values increased by 25% and </t>
    </r>
    <r>
      <rPr>
        <i/>
        <sz val="10"/>
        <rFont val="Arial"/>
        <family val="2"/>
      </rPr>
      <t>f</t>
    </r>
    <r>
      <rPr>
        <i/>
        <vertAlign val="subscript"/>
        <sz val="10"/>
        <rFont val="Arial"/>
        <family val="2"/>
      </rPr>
      <t>B</t>
    </r>
    <r>
      <rPr>
        <sz val="10"/>
        <rFont val="Arial"/>
        <family val="0"/>
      </rPr>
      <t xml:space="preserve"> values reduced by 20%.</t>
    </r>
  </si>
  <si>
    <r>
      <t>(a)</t>
    </r>
    <r>
      <rPr>
        <sz val="10"/>
        <color indexed="8"/>
        <rFont val="Arial"/>
        <family val="2"/>
      </rPr>
      <t xml:space="preserve"> Clause numbers refer to section numbers in ASAE EP 486.3</t>
    </r>
  </si>
  <si>
    <t>Enter "1" for square and "0"  for round ftg.</t>
  </si>
  <si>
    <t xml:space="preserve"> Bearing Strength Assessment</t>
  </si>
  <si>
    <r>
      <t xml:space="preserve"> Ultimate Bearing Capacity,</t>
    </r>
    <r>
      <rPr>
        <b/>
        <i/>
        <sz val="14"/>
        <color indexed="9"/>
        <rFont val="Arial"/>
        <family val="2"/>
      </rPr>
      <t xml:space="preserve"> q</t>
    </r>
    <r>
      <rPr>
        <b/>
        <i/>
        <vertAlign val="subscript"/>
        <sz val="14"/>
        <color indexed="9"/>
        <rFont val="Arial"/>
        <family val="2"/>
      </rPr>
      <t>B</t>
    </r>
    <r>
      <rPr>
        <b/>
        <i/>
        <sz val="14"/>
        <color indexed="9"/>
        <rFont val="Arial"/>
        <family val="2"/>
      </rPr>
      <t xml:space="preserve"> </t>
    </r>
  </si>
  <si>
    <t xml:space="preserve"> You must fill in all yellow colored cells in the table below</t>
  </si>
  <si>
    <t>Shape factor for uplift resistance in cohesionless soils</t>
  </si>
  <si>
    <t>Nominal uplift coefficient of earth pressure on a vertical plane for cohesionless soils</t>
  </si>
  <si>
    <r>
      <t xml:space="preserve">1.2 </t>
    </r>
    <r>
      <rPr>
        <i/>
        <sz val="10"/>
        <rFont val="Arial"/>
        <family val="2"/>
      </rPr>
      <t>d</t>
    </r>
    <r>
      <rPr>
        <i/>
        <vertAlign val="subscript"/>
        <sz val="10"/>
        <rFont val="Arial"/>
        <family val="2"/>
      </rPr>
      <t>U</t>
    </r>
    <r>
      <rPr>
        <sz val="10"/>
        <rFont val="Arial"/>
        <family val="0"/>
      </rPr>
      <t>/</t>
    </r>
    <r>
      <rPr>
        <i/>
        <sz val="10"/>
        <rFont val="Arial"/>
        <family val="2"/>
      </rPr>
      <t>B</t>
    </r>
    <r>
      <rPr>
        <i/>
        <vertAlign val="subscript"/>
        <sz val="10"/>
        <rFont val="Arial"/>
        <family val="2"/>
      </rPr>
      <t>U</t>
    </r>
    <r>
      <rPr>
        <sz val="10"/>
        <rFont val="Arial"/>
        <family val="0"/>
      </rPr>
      <t xml:space="preserve"> &lt; 9</t>
    </r>
  </si>
  <si>
    <r>
      <t>g</t>
    </r>
    <r>
      <rPr>
        <sz val="10"/>
        <rFont val="Arial"/>
        <family val="2"/>
      </rPr>
      <t xml:space="preserve">  [</t>
    </r>
    <r>
      <rPr>
        <i/>
        <sz val="10"/>
        <rFont val="Arial"/>
        <family val="2"/>
      </rPr>
      <t>h (2d</t>
    </r>
    <r>
      <rPr>
        <i/>
        <vertAlign val="subscript"/>
        <sz val="10"/>
        <rFont val="Arial"/>
        <family val="2"/>
      </rPr>
      <t xml:space="preserve">U </t>
    </r>
    <r>
      <rPr>
        <i/>
        <sz val="10"/>
        <rFont val="Arial"/>
        <family val="2"/>
      </rPr>
      <t>– h) (2s</t>
    </r>
    <r>
      <rPr>
        <i/>
        <vertAlign val="subscript"/>
        <sz val="10"/>
        <rFont val="Arial"/>
        <family val="2"/>
      </rPr>
      <t>F</t>
    </r>
    <r>
      <rPr>
        <i/>
        <sz val="10"/>
        <rFont val="Arial"/>
        <family val="2"/>
      </rPr>
      <t>B</t>
    </r>
    <r>
      <rPr>
        <i/>
        <vertAlign val="subscript"/>
        <sz val="10"/>
        <rFont val="Arial"/>
        <family val="2"/>
      </rPr>
      <t>U</t>
    </r>
    <r>
      <rPr>
        <i/>
        <sz val="10"/>
        <rFont val="Arial"/>
        <family val="2"/>
      </rPr>
      <t>+L</t>
    </r>
    <r>
      <rPr>
        <i/>
        <vertAlign val="subscript"/>
        <sz val="10"/>
        <rFont val="Arial"/>
        <family val="2"/>
      </rPr>
      <t>U</t>
    </r>
    <r>
      <rPr>
        <sz val="10"/>
        <rFont val="Arial"/>
        <family val="2"/>
      </rPr>
      <t>–</t>
    </r>
    <r>
      <rPr>
        <i/>
        <sz val="10"/>
        <rFont val="Arial"/>
        <family val="2"/>
      </rPr>
      <t>B</t>
    </r>
    <r>
      <rPr>
        <i/>
        <vertAlign val="subscript"/>
        <sz val="10"/>
        <rFont val="Arial"/>
        <family val="2"/>
      </rPr>
      <t>U</t>
    </r>
    <r>
      <rPr>
        <i/>
        <sz val="10"/>
        <rFont val="Arial"/>
        <family val="2"/>
      </rPr>
      <t>) K</t>
    </r>
    <r>
      <rPr>
        <i/>
        <vertAlign val="subscript"/>
        <sz val="10"/>
        <rFont val="Arial"/>
        <family val="2"/>
      </rPr>
      <t>U</t>
    </r>
    <r>
      <rPr>
        <i/>
        <sz val="10"/>
        <rFont val="Arial"/>
        <family val="2"/>
      </rPr>
      <t xml:space="preserve"> </t>
    </r>
    <r>
      <rPr>
        <sz val="10"/>
        <rFont val="Arial"/>
        <family val="2"/>
      </rPr>
      <t>tan</t>
    </r>
    <r>
      <rPr>
        <i/>
        <sz val="10"/>
        <rFont val="Symbol"/>
        <family val="1"/>
      </rPr>
      <t>f</t>
    </r>
    <r>
      <rPr>
        <sz val="10"/>
        <rFont val="Arial"/>
        <family val="2"/>
      </rPr>
      <t xml:space="preserve"> + </t>
    </r>
    <r>
      <rPr>
        <i/>
        <sz val="10"/>
        <rFont val="Arial"/>
        <family val="2"/>
      </rPr>
      <t>d</t>
    </r>
    <r>
      <rPr>
        <i/>
        <vertAlign val="subscript"/>
        <sz val="10"/>
        <rFont val="Arial"/>
        <family val="2"/>
      </rPr>
      <t>U</t>
    </r>
    <r>
      <rPr>
        <i/>
        <sz val="10"/>
        <rFont val="Arial"/>
        <family val="2"/>
      </rPr>
      <t>B</t>
    </r>
    <r>
      <rPr>
        <i/>
        <vertAlign val="subscript"/>
        <sz val="10"/>
        <rFont val="Arial"/>
        <family val="2"/>
      </rPr>
      <t>U</t>
    </r>
    <r>
      <rPr>
        <i/>
        <sz val="10"/>
        <rFont val="Arial"/>
        <family val="2"/>
      </rPr>
      <t>L</t>
    </r>
    <r>
      <rPr>
        <i/>
        <vertAlign val="subscript"/>
        <sz val="10"/>
        <rFont val="Arial"/>
        <family val="2"/>
      </rPr>
      <t>U</t>
    </r>
    <r>
      <rPr>
        <sz val="10"/>
        <rFont val="Arial"/>
        <family val="2"/>
      </rPr>
      <t xml:space="preserve"> </t>
    </r>
    <r>
      <rPr>
        <i/>
        <sz val="10"/>
        <rFont val="Arial"/>
        <family val="2"/>
      </rPr>
      <t>– d</t>
    </r>
    <r>
      <rPr>
        <i/>
        <vertAlign val="subscript"/>
        <sz val="10"/>
        <rFont val="Arial"/>
        <family val="2"/>
      </rPr>
      <t>U</t>
    </r>
    <r>
      <rPr>
        <i/>
        <sz val="10"/>
        <rFont val="Arial"/>
        <family val="2"/>
      </rPr>
      <t>A</t>
    </r>
    <r>
      <rPr>
        <i/>
        <vertAlign val="subscript"/>
        <sz val="10"/>
        <rFont val="Arial"/>
        <family val="2"/>
      </rPr>
      <t>p</t>
    </r>
    <r>
      <rPr>
        <sz val="10"/>
        <rFont val="Arial"/>
        <family val="2"/>
      </rPr>
      <t>]</t>
    </r>
  </si>
  <si>
    <r>
      <t>1+1.105(10</t>
    </r>
    <r>
      <rPr>
        <vertAlign val="superscript"/>
        <sz val="10"/>
        <rFont val="Arial"/>
        <family val="2"/>
      </rPr>
      <t>-5</t>
    </r>
    <r>
      <rPr>
        <sz val="10"/>
        <rFont val="Arial"/>
        <family val="0"/>
      </rPr>
      <t>)</t>
    </r>
    <r>
      <rPr>
        <i/>
        <sz val="10"/>
        <rFont val="Symbol"/>
        <family val="1"/>
      </rPr>
      <t>f</t>
    </r>
    <r>
      <rPr>
        <vertAlign val="superscript"/>
        <sz val="10"/>
        <rFont val="Arial"/>
        <family val="2"/>
      </rPr>
      <t>2.815</t>
    </r>
    <r>
      <rPr>
        <i/>
        <sz val="10"/>
        <rFont val="Arial"/>
        <family val="2"/>
      </rPr>
      <t>d</t>
    </r>
    <r>
      <rPr>
        <i/>
        <vertAlign val="subscript"/>
        <sz val="10"/>
        <rFont val="Arial"/>
        <family val="2"/>
      </rPr>
      <t>U</t>
    </r>
    <r>
      <rPr>
        <sz val="10"/>
        <rFont val="Arial"/>
        <family val="0"/>
      </rPr>
      <t>/</t>
    </r>
    <r>
      <rPr>
        <i/>
        <sz val="10"/>
        <rFont val="Arial"/>
        <family val="2"/>
      </rPr>
      <t>B</t>
    </r>
    <r>
      <rPr>
        <i/>
        <vertAlign val="subscript"/>
        <sz val="10"/>
        <rFont val="Arial"/>
        <family val="2"/>
      </rPr>
      <t>U</t>
    </r>
    <r>
      <rPr>
        <sz val="10"/>
        <rFont val="Arial"/>
        <family val="0"/>
      </rPr>
      <t xml:space="preserve"> for shallow foundation;                    1+1.105(10</t>
    </r>
    <r>
      <rPr>
        <vertAlign val="superscript"/>
        <sz val="10"/>
        <rFont val="Arial"/>
        <family val="2"/>
      </rPr>
      <t>-5</t>
    </r>
    <r>
      <rPr>
        <sz val="10"/>
        <rFont val="Arial"/>
        <family val="0"/>
      </rPr>
      <t>)</t>
    </r>
    <r>
      <rPr>
        <i/>
        <sz val="10"/>
        <rFont val="Symbol"/>
        <family val="1"/>
      </rPr>
      <t>f</t>
    </r>
    <r>
      <rPr>
        <vertAlign val="superscript"/>
        <sz val="10"/>
        <rFont val="Arial"/>
        <family val="2"/>
      </rPr>
      <t>2.815</t>
    </r>
    <r>
      <rPr>
        <i/>
        <sz val="10"/>
        <rFont val="Arial"/>
        <family val="2"/>
      </rPr>
      <t>h</t>
    </r>
    <r>
      <rPr>
        <sz val="10"/>
        <rFont val="Arial"/>
        <family val="0"/>
      </rPr>
      <t>/</t>
    </r>
    <r>
      <rPr>
        <i/>
        <sz val="10"/>
        <rFont val="Arial"/>
        <family val="2"/>
      </rPr>
      <t>B</t>
    </r>
    <r>
      <rPr>
        <i/>
        <vertAlign val="subscript"/>
        <sz val="10"/>
        <rFont val="Arial"/>
        <family val="2"/>
      </rPr>
      <t>U</t>
    </r>
    <r>
      <rPr>
        <sz val="10"/>
        <rFont val="Arial"/>
        <family val="0"/>
      </rPr>
      <t xml:space="preserve"> for deep foundation</t>
    </r>
  </si>
  <si>
    <t>Maximum allowed LRFD axial uplift force applied to foundation at grade</t>
  </si>
  <si>
    <t>Maximum allowed ASD axial uplift force applied to foundation at grade</t>
  </si>
  <si>
    <r>
      <t>gM</t>
    </r>
    <r>
      <rPr>
        <i/>
        <vertAlign val="subscript"/>
        <sz val="10"/>
        <rFont val="Arial"/>
        <family val="2"/>
      </rPr>
      <t>F</t>
    </r>
    <r>
      <rPr>
        <sz val="10"/>
        <rFont val="Arial"/>
        <family val="0"/>
      </rPr>
      <t xml:space="preserve"> +</t>
    </r>
    <r>
      <rPr>
        <i/>
        <sz val="10"/>
        <rFont val="Arial"/>
        <family val="2"/>
      </rPr>
      <t xml:space="preserve"> R</t>
    </r>
    <r>
      <rPr>
        <i/>
        <vertAlign val="subscript"/>
        <sz val="10"/>
        <rFont val="Arial"/>
        <family val="2"/>
      </rPr>
      <t>U</t>
    </r>
    <r>
      <rPr>
        <i/>
        <sz val="10"/>
        <rFont val="Arial"/>
        <family val="2"/>
      </rPr>
      <t>U</t>
    </r>
  </si>
  <si>
    <r>
      <t>gM</t>
    </r>
    <r>
      <rPr>
        <i/>
        <vertAlign val="subscript"/>
        <sz val="10"/>
        <rFont val="Arial"/>
        <family val="2"/>
      </rPr>
      <t>F</t>
    </r>
    <r>
      <rPr>
        <sz val="10"/>
        <rFont val="Arial"/>
        <family val="0"/>
      </rPr>
      <t xml:space="preserve"> +</t>
    </r>
    <r>
      <rPr>
        <i/>
        <sz val="10"/>
        <rFont val="Arial"/>
        <family val="2"/>
      </rPr>
      <t>U</t>
    </r>
    <r>
      <rPr>
        <sz val="10"/>
        <rFont val="Arial"/>
        <family val="2"/>
      </rPr>
      <t>/</t>
    </r>
    <r>
      <rPr>
        <i/>
        <sz val="10"/>
        <rFont val="Arial"/>
        <family val="2"/>
      </rPr>
      <t>f</t>
    </r>
    <r>
      <rPr>
        <i/>
        <vertAlign val="subscript"/>
        <sz val="10"/>
        <rFont val="Arial"/>
        <family val="2"/>
      </rPr>
      <t>U</t>
    </r>
  </si>
  <si>
    <t>ASD factor of safety for uplift strength assessment</t>
  </si>
  <si>
    <t>LRFD resistance factor for uplift strength assessment</t>
  </si>
  <si>
    <t>Enter "0" (zero) for ASD loading</t>
  </si>
  <si>
    <t>Enter "0" (zero) for LRFD loading</t>
  </si>
  <si>
    <t>Enter "0" (zero) for cohesive soils</t>
  </si>
  <si>
    <t>Enter "0" (zero) for cohesionless soils</t>
  </si>
  <si>
    <r>
      <t xml:space="preserve">Soil friction angle </t>
    </r>
    <r>
      <rPr>
        <i/>
        <sz val="10"/>
        <color indexed="8"/>
        <rFont val="Symbol"/>
        <family val="1"/>
      </rPr>
      <t>f</t>
    </r>
    <r>
      <rPr>
        <sz val="10"/>
        <color indexed="8"/>
        <rFont val="Arial"/>
        <family val="2"/>
      </rPr>
      <t xml:space="preserve"> for use in the equations of clauses 12.5.1.1 and 12.5.1.2</t>
    </r>
  </si>
  <si>
    <r>
      <t xml:space="preserve">0.93 - 0.015 </t>
    </r>
    <r>
      <rPr>
        <i/>
        <sz val="10"/>
        <color indexed="8"/>
        <rFont val="Symbol"/>
        <family val="1"/>
      </rPr>
      <t xml:space="preserve">f </t>
    </r>
    <r>
      <rPr>
        <i/>
        <sz val="10"/>
        <color indexed="8"/>
        <rFont val="Arial"/>
        <family val="2"/>
      </rPr>
      <t>=</t>
    </r>
  </si>
  <si>
    <r>
      <t xml:space="preserve">1.20 - 0.015 </t>
    </r>
    <r>
      <rPr>
        <i/>
        <sz val="10"/>
        <color indexed="8"/>
        <rFont val="Symbol"/>
        <family val="1"/>
      </rPr>
      <t>f =</t>
    </r>
  </si>
  <si>
    <r>
      <t xml:space="preserve">1.07 - 0.015 </t>
    </r>
    <r>
      <rPr>
        <i/>
        <sz val="10"/>
        <color indexed="8"/>
        <rFont val="Symbol"/>
        <family val="1"/>
      </rPr>
      <t xml:space="preserve">f </t>
    </r>
    <r>
      <rPr>
        <i/>
        <sz val="10"/>
        <color indexed="8"/>
        <rFont val="Arial"/>
        <family val="2"/>
      </rPr>
      <t>=</t>
    </r>
  </si>
  <si>
    <r>
      <t xml:space="preserve">0.87 - 0.015 </t>
    </r>
    <r>
      <rPr>
        <i/>
        <sz val="10"/>
        <color indexed="8"/>
        <rFont val="Symbol"/>
        <family val="1"/>
      </rPr>
      <t>f</t>
    </r>
    <r>
      <rPr>
        <i/>
        <sz val="10"/>
        <color indexed="8"/>
        <rFont val="Arial"/>
        <family val="2"/>
      </rPr>
      <t xml:space="preserve"> =</t>
    </r>
  </si>
  <si>
    <r>
      <t xml:space="preserve">1.16 - 0.015 </t>
    </r>
    <r>
      <rPr>
        <i/>
        <sz val="10"/>
        <color indexed="8"/>
        <rFont val="Symbol"/>
        <family val="1"/>
      </rPr>
      <t>f</t>
    </r>
    <r>
      <rPr>
        <i/>
        <sz val="10"/>
        <color indexed="8"/>
        <rFont val="Arial"/>
        <family val="2"/>
      </rPr>
      <t xml:space="preserve"> =</t>
    </r>
  </si>
  <si>
    <r>
      <t xml:space="preserve">1.4/(1.20 - 0.015 </t>
    </r>
    <r>
      <rPr>
        <i/>
        <sz val="10"/>
        <color indexed="8"/>
        <rFont val="Symbol"/>
        <family val="1"/>
      </rPr>
      <t>f</t>
    </r>
    <r>
      <rPr>
        <sz val="10"/>
        <color indexed="8"/>
        <rFont val="Arial"/>
        <family val="2"/>
      </rPr>
      <t>) =</t>
    </r>
  </si>
  <si>
    <r>
      <t>1.4/(0.93 - 0.015</t>
    </r>
    <r>
      <rPr>
        <sz val="10"/>
        <color indexed="8"/>
        <rFont val="Symbol"/>
        <family val="1"/>
      </rPr>
      <t xml:space="preserve"> </t>
    </r>
    <r>
      <rPr>
        <i/>
        <sz val="10"/>
        <color indexed="8"/>
        <rFont val="Symbol"/>
        <family val="1"/>
      </rPr>
      <t>f</t>
    </r>
    <r>
      <rPr>
        <sz val="10"/>
        <color indexed="8"/>
        <rFont val="Arial"/>
        <family val="2"/>
      </rPr>
      <t>) =</t>
    </r>
  </si>
  <si>
    <r>
      <t>1.4/(1.07 - 0.015</t>
    </r>
    <r>
      <rPr>
        <sz val="10"/>
        <color indexed="8"/>
        <rFont val="Symbol"/>
        <family val="1"/>
      </rPr>
      <t xml:space="preserve"> </t>
    </r>
    <r>
      <rPr>
        <i/>
        <sz val="10"/>
        <color indexed="8"/>
        <rFont val="Symbol"/>
        <family val="1"/>
      </rPr>
      <t>f</t>
    </r>
    <r>
      <rPr>
        <sz val="10"/>
        <color indexed="8"/>
        <rFont val="Arial"/>
        <family val="2"/>
      </rPr>
      <t>) =</t>
    </r>
  </si>
  <si>
    <r>
      <t xml:space="preserve">1.4/(0.87 - 0.015 </t>
    </r>
    <r>
      <rPr>
        <i/>
        <sz val="10"/>
        <color indexed="8"/>
        <rFont val="Symbol"/>
        <family val="1"/>
      </rPr>
      <t>f</t>
    </r>
    <r>
      <rPr>
        <sz val="10"/>
        <color indexed="8"/>
        <rFont val="Arial"/>
        <family val="2"/>
      </rPr>
      <t>) =</t>
    </r>
  </si>
  <si>
    <r>
      <t xml:space="preserve">1.4/(1.16 - 0.015 </t>
    </r>
    <r>
      <rPr>
        <i/>
        <sz val="10"/>
        <color indexed="8"/>
        <rFont val="Symbol"/>
        <family val="1"/>
      </rPr>
      <t>f</t>
    </r>
    <r>
      <rPr>
        <sz val="10"/>
        <color indexed="8"/>
        <rFont val="Arial"/>
        <family val="2"/>
      </rPr>
      <t>) =</t>
    </r>
  </si>
  <si>
    <r>
      <t>Low Risk</t>
    </r>
    <r>
      <rPr>
        <b/>
        <vertAlign val="superscript"/>
        <sz val="10"/>
        <rFont val="Arial"/>
        <family val="2"/>
      </rPr>
      <t xml:space="preserve"> (c)</t>
    </r>
  </si>
  <si>
    <r>
      <t xml:space="preserve">Low Risk </t>
    </r>
    <r>
      <rPr>
        <b/>
        <vertAlign val="superscript"/>
        <sz val="10"/>
        <rFont val="Arial"/>
        <family val="2"/>
      </rPr>
      <t>(c)</t>
    </r>
  </si>
  <si>
    <r>
      <t>(c)</t>
    </r>
    <r>
      <rPr>
        <sz val="10"/>
        <rFont val="Arial"/>
        <family val="0"/>
      </rPr>
      <t xml:space="preserve"> For buildings and other structures that represent a low risk to humans in the event of a failure. </t>
    </r>
    <r>
      <rPr>
        <i/>
        <sz val="10"/>
        <rFont val="Arial"/>
        <family val="2"/>
      </rPr>
      <t>R</t>
    </r>
    <r>
      <rPr>
        <i/>
        <vertAlign val="subscript"/>
        <sz val="10"/>
        <rFont val="Arial"/>
        <family val="2"/>
      </rPr>
      <t>U</t>
    </r>
    <r>
      <rPr>
        <sz val="10"/>
        <rFont val="Arial"/>
        <family val="0"/>
      </rPr>
      <t xml:space="preserve"> values increased by 25% and </t>
    </r>
    <r>
      <rPr>
        <i/>
        <sz val="10"/>
        <rFont val="Arial"/>
        <family val="2"/>
      </rPr>
      <t>f</t>
    </r>
    <r>
      <rPr>
        <i/>
        <vertAlign val="subscript"/>
        <sz val="10"/>
        <rFont val="Arial"/>
        <family val="2"/>
      </rPr>
      <t>U</t>
    </r>
    <r>
      <rPr>
        <sz val="10"/>
        <rFont val="Arial"/>
        <family val="0"/>
      </rPr>
      <t xml:space="preserve"> values reduced by 20%</t>
    </r>
  </si>
  <si>
    <r>
      <t xml:space="preserve">(b) </t>
    </r>
    <r>
      <rPr>
        <sz val="10"/>
        <color indexed="8"/>
        <rFont val="Arial"/>
        <family val="2"/>
      </rPr>
      <t>In all cases,</t>
    </r>
    <r>
      <rPr>
        <vertAlign val="superscript"/>
        <sz val="10"/>
        <color indexed="8"/>
        <rFont val="Arial"/>
        <family val="2"/>
      </rPr>
      <t xml:space="preserve"> </t>
    </r>
    <r>
      <rPr>
        <i/>
        <sz val="10"/>
        <color indexed="8"/>
        <rFont val="Arial"/>
        <family val="2"/>
      </rPr>
      <t>R</t>
    </r>
    <r>
      <rPr>
        <i/>
        <vertAlign val="subscript"/>
        <sz val="10"/>
        <color indexed="8"/>
        <rFont val="Arial"/>
        <family val="2"/>
      </rPr>
      <t xml:space="preserve">U </t>
    </r>
    <r>
      <rPr>
        <sz val="10"/>
        <color indexed="8"/>
        <rFont val="Arial"/>
        <family val="2"/>
      </rPr>
      <t xml:space="preserve">is limited to a maximum value of 0.93 and </t>
    </r>
    <r>
      <rPr>
        <i/>
        <sz val="10"/>
        <color indexed="8"/>
        <rFont val="Arial"/>
        <family val="2"/>
      </rPr>
      <t>f</t>
    </r>
    <r>
      <rPr>
        <i/>
        <vertAlign val="subscript"/>
        <sz val="10"/>
        <color indexed="8"/>
        <rFont val="Arial"/>
        <family val="2"/>
      </rPr>
      <t>U</t>
    </r>
    <r>
      <rPr>
        <sz val="10"/>
        <color indexed="8"/>
        <rFont val="Arial"/>
        <family val="2"/>
      </rPr>
      <t xml:space="preserve"> is limited to a minimum value of 1.50.</t>
    </r>
  </si>
  <si>
    <r>
      <t xml:space="preserve">Required property </t>
    </r>
    <r>
      <rPr>
        <b/>
        <vertAlign val="superscript"/>
        <sz val="10"/>
        <color indexed="8"/>
        <rFont val="Arial"/>
        <family val="2"/>
      </rPr>
      <t>(a)</t>
    </r>
  </si>
  <si>
    <r>
      <t>Method used to determine required soil property</t>
    </r>
    <r>
      <rPr>
        <b/>
        <vertAlign val="superscript"/>
        <sz val="10"/>
        <color indexed="8"/>
        <rFont val="Arial"/>
        <family val="2"/>
      </rPr>
      <t xml:space="preserve"> (a)</t>
    </r>
  </si>
  <si>
    <r>
      <t xml:space="preserve">For </t>
    </r>
    <r>
      <rPr>
        <b/>
        <i/>
        <sz val="10"/>
        <rFont val="Symbol"/>
        <family val="1"/>
      </rPr>
      <t>f</t>
    </r>
    <r>
      <rPr>
        <b/>
        <sz val="10"/>
        <rFont val="Arial"/>
        <family val="0"/>
      </rPr>
      <t xml:space="preserve"> =</t>
    </r>
  </si>
  <si>
    <r>
      <t>LRFD resistance factor for uplift strength assessment,</t>
    </r>
    <r>
      <rPr>
        <b/>
        <i/>
        <sz val="10"/>
        <color indexed="8"/>
        <rFont val="Arial"/>
        <family val="2"/>
      </rPr>
      <t xml:space="preserve"> R</t>
    </r>
    <r>
      <rPr>
        <b/>
        <i/>
        <vertAlign val="subscript"/>
        <sz val="10"/>
        <color indexed="8"/>
        <rFont val="Arial"/>
        <family val="2"/>
      </rPr>
      <t>U</t>
    </r>
    <r>
      <rPr>
        <b/>
        <vertAlign val="superscript"/>
        <sz val="10"/>
        <color indexed="8"/>
        <rFont val="Arial"/>
        <family val="2"/>
      </rPr>
      <t xml:space="preserve"> (b)</t>
    </r>
  </si>
  <si>
    <r>
      <t xml:space="preserve">ASD safety factor for uplift strength assessment, </t>
    </r>
    <r>
      <rPr>
        <b/>
        <i/>
        <sz val="10"/>
        <color indexed="8"/>
        <rFont val="Arial"/>
        <family val="2"/>
      </rPr>
      <t>f</t>
    </r>
    <r>
      <rPr>
        <b/>
        <i/>
        <vertAlign val="subscript"/>
        <sz val="10"/>
        <color indexed="8"/>
        <rFont val="Arial"/>
        <family val="2"/>
      </rPr>
      <t>U</t>
    </r>
    <r>
      <rPr>
        <b/>
        <i/>
        <sz val="10"/>
        <color indexed="8"/>
        <rFont val="Arial"/>
        <family val="2"/>
      </rPr>
      <t xml:space="preserve"> </t>
    </r>
    <r>
      <rPr>
        <b/>
        <vertAlign val="superscript"/>
        <sz val="10"/>
        <color indexed="8"/>
        <rFont val="Arial"/>
        <family val="2"/>
      </rPr>
      <t>(b)</t>
    </r>
  </si>
  <si>
    <r>
      <t>U</t>
    </r>
    <r>
      <rPr>
        <sz val="10"/>
        <rFont val="Arial"/>
        <family val="0"/>
      </rPr>
      <t xml:space="preserve"> value for conditions given</t>
    </r>
  </si>
  <si>
    <t>You must fill in all yellow colored cells in the table below</t>
  </si>
  <si>
    <t xml:space="preserve">Mass of foundation components located below grade that provide anchorage </t>
  </si>
  <si>
    <t xml:space="preserve">  </t>
  </si>
  <si>
    <r>
      <t>Average value of limiting pressures obtained from pressurementer tests within a zone of +/- 1.5</t>
    </r>
    <r>
      <rPr>
        <i/>
        <sz val="10"/>
        <rFont val="Arial"/>
        <family val="2"/>
      </rPr>
      <t xml:space="preserve"> B</t>
    </r>
    <r>
      <rPr>
        <sz val="10"/>
        <rFont val="Arial"/>
        <family val="2"/>
      </rPr>
      <t xml:space="preserve"> above and bellow foorting depth</t>
    </r>
    <r>
      <rPr>
        <i/>
        <sz val="10"/>
        <rFont val="Arial"/>
        <family val="2"/>
      </rPr>
      <t xml:space="preserve"> d</t>
    </r>
    <r>
      <rPr>
        <i/>
        <vertAlign val="subscript"/>
        <sz val="10"/>
        <rFont val="Arial"/>
        <family val="2"/>
      </rPr>
      <t>F</t>
    </r>
  </si>
  <si>
    <r>
      <t>q</t>
    </r>
    <r>
      <rPr>
        <i/>
        <vertAlign val="subscript"/>
        <sz val="10"/>
        <rFont val="Arial"/>
        <family val="2"/>
      </rPr>
      <t xml:space="preserve">0 + </t>
    </r>
    <r>
      <rPr>
        <i/>
        <sz val="10"/>
        <rFont val="Arial"/>
        <family val="2"/>
      </rPr>
      <t>C</t>
    </r>
    <r>
      <rPr>
        <i/>
        <vertAlign val="subscript"/>
        <sz val="10"/>
        <rFont val="Arial"/>
        <family val="2"/>
      </rPr>
      <t>PB</t>
    </r>
    <r>
      <rPr>
        <i/>
        <sz val="10"/>
        <rFont val="Arial"/>
        <family val="2"/>
      </rPr>
      <t xml:space="preserve"> (p</t>
    </r>
    <r>
      <rPr>
        <i/>
        <vertAlign val="subscript"/>
        <sz val="10"/>
        <rFont val="Arial"/>
        <family val="2"/>
      </rPr>
      <t>L</t>
    </r>
    <r>
      <rPr>
        <i/>
        <sz val="10"/>
        <rFont val="Arial"/>
        <family val="2"/>
      </rPr>
      <t xml:space="preserve"> - </t>
    </r>
    <r>
      <rPr>
        <i/>
        <sz val="10"/>
        <rFont val="Symbol"/>
        <family val="1"/>
      </rPr>
      <t>s</t>
    </r>
    <r>
      <rPr>
        <i/>
        <vertAlign val="subscript"/>
        <sz val="10"/>
        <rFont val="Arial"/>
        <family val="2"/>
      </rPr>
      <t>0h</t>
    </r>
    <r>
      <rPr>
        <i/>
        <sz val="10"/>
        <rFont val="Arial"/>
        <family val="2"/>
      </rPr>
      <t>)</t>
    </r>
  </si>
  <si>
    <t>Empirical bearing capacity coefficient for adjustment of pressuremeter readings</t>
  </si>
  <si>
    <r>
      <t xml:space="preserve"> 0.80 + 0.642(</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0"/>
      </rPr>
      <t>) - 0.0839(</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0"/>
      </rPr>
      <t>)</t>
    </r>
    <r>
      <rPr>
        <vertAlign val="superscript"/>
        <sz val="10"/>
        <rFont val="Arial"/>
        <family val="2"/>
      </rPr>
      <t xml:space="preserve">2 </t>
    </r>
    <r>
      <rPr>
        <sz val="10"/>
        <rFont val="Arial"/>
        <family val="2"/>
      </rPr>
      <t>for sands</t>
    </r>
  </si>
  <si>
    <t>Horizontal total stress at rest for the depth where the pressuremeter test is performed</t>
  </si>
  <si>
    <r>
      <t>0.80 + 0.384(</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0"/>
      </rPr>
      <t>) - 0.0572(</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0"/>
      </rPr>
      <t>)</t>
    </r>
    <r>
      <rPr>
        <vertAlign val="superscript"/>
        <sz val="10"/>
        <rFont val="Arial"/>
        <family val="2"/>
      </rPr>
      <t xml:space="preserve">2 </t>
    </r>
    <r>
      <rPr>
        <sz val="10"/>
        <rFont val="Arial"/>
        <family val="2"/>
      </rPr>
      <t>for silts</t>
    </r>
  </si>
  <si>
    <r>
      <t xml:space="preserve"> 0.80 + 0.223(</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0"/>
      </rPr>
      <t>) - 0.0395(</t>
    </r>
    <r>
      <rPr>
        <i/>
        <sz val="10"/>
        <rFont val="Arial"/>
        <family val="2"/>
      </rPr>
      <t>d</t>
    </r>
    <r>
      <rPr>
        <i/>
        <vertAlign val="subscript"/>
        <sz val="10"/>
        <rFont val="Arial"/>
        <family val="2"/>
      </rPr>
      <t>F</t>
    </r>
    <r>
      <rPr>
        <sz val="10"/>
        <rFont val="Arial"/>
        <family val="2"/>
      </rPr>
      <t>/</t>
    </r>
    <r>
      <rPr>
        <i/>
        <sz val="10"/>
        <rFont val="Arial"/>
        <family val="2"/>
      </rPr>
      <t>B</t>
    </r>
    <r>
      <rPr>
        <sz val="10"/>
        <rFont val="Arial"/>
        <family val="0"/>
      </rPr>
      <t>)</t>
    </r>
    <r>
      <rPr>
        <vertAlign val="superscript"/>
        <sz val="10"/>
        <rFont val="Arial"/>
        <family val="2"/>
      </rPr>
      <t xml:space="preserve">2 </t>
    </r>
    <r>
      <rPr>
        <sz val="10"/>
        <rFont val="Arial"/>
        <family val="2"/>
      </rPr>
      <t>for clays</t>
    </r>
  </si>
  <si>
    <r>
      <t xml:space="preserve">Total overburden pressure at footing depth </t>
    </r>
    <r>
      <rPr>
        <i/>
        <sz val="10"/>
        <rFont val="Arial"/>
        <family val="2"/>
      </rPr>
      <t>d</t>
    </r>
    <r>
      <rPr>
        <i/>
        <vertAlign val="subscript"/>
        <sz val="10"/>
        <rFont val="Arial"/>
        <family val="2"/>
      </rPr>
      <t>F</t>
    </r>
  </si>
  <si>
    <r>
      <t>in</t>
    </r>
    <r>
      <rPr>
        <vertAlign val="superscript"/>
        <sz val="10"/>
        <rFont val="Arial"/>
        <family val="2"/>
      </rPr>
      <t>2</t>
    </r>
  </si>
  <si>
    <t>See table to the right</t>
  </si>
  <si>
    <t>Axial load applied to foundation at grade by LRFD load combination</t>
  </si>
  <si>
    <t>Axial load applied to foundation at grade by ASD load combination</t>
  </si>
  <si>
    <t xml:space="preserve">Shape of footing </t>
  </si>
  <si>
    <t xml:space="preserve">Footing bearing area </t>
  </si>
  <si>
    <t>LRFD resistance factor for bearing strength assessment</t>
  </si>
  <si>
    <t>ASD factor of safety for bearing strength assessment</t>
  </si>
  <si>
    <r>
      <t>Max P</t>
    </r>
    <r>
      <rPr>
        <i/>
        <vertAlign val="subscript"/>
        <sz val="10"/>
        <rFont val="Arial"/>
        <family val="2"/>
      </rPr>
      <t>LRFD</t>
    </r>
  </si>
  <si>
    <r>
      <t>Max P</t>
    </r>
    <r>
      <rPr>
        <i/>
        <vertAlign val="subscript"/>
        <sz val="10"/>
        <rFont val="Arial"/>
        <family val="2"/>
      </rPr>
      <t>ASD</t>
    </r>
  </si>
  <si>
    <r>
      <t>(</t>
    </r>
    <r>
      <rPr>
        <i/>
        <sz val="10"/>
        <rFont val="Arial"/>
        <family val="2"/>
      </rPr>
      <t>q</t>
    </r>
    <r>
      <rPr>
        <i/>
        <vertAlign val="subscript"/>
        <sz val="10"/>
        <rFont val="Arial"/>
        <family val="2"/>
      </rPr>
      <t>B</t>
    </r>
    <r>
      <rPr>
        <vertAlign val="subscript"/>
        <sz val="10"/>
        <rFont val="Arial"/>
        <family val="2"/>
      </rPr>
      <t xml:space="preserve">  </t>
    </r>
    <r>
      <rPr>
        <sz val="10"/>
        <rFont val="Arial"/>
        <family val="0"/>
      </rPr>
      <t>-</t>
    </r>
    <r>
      <rPr>
        <i/>
        <sz val="10"/>
        <rFont val="Arial"/>
        <family val="2"/>
      </rPr>
      <t>q</t>
    </r>
    <r>
      <rPr>
        <i/>
        <vertAlign val="subscript"/>
        <sz val="10"/>
        <rFont val="Arial"/>
        <family val="2"/>
      </rPr>
      <t>0</t>
    </r>
    <r>
      <rPr>
        <sz val="10"/>
        <rFont val="Arial"/>
        <family val="0"/>
      </rPr>
      <t>)*</t>
    </r>
    <r>
      <rPr>
        <i/>
        <sz val="10"/>
        <rFont val="Arial"/>
        <family val="2"/>
      </rPr>
      <t>A</t>
    </r>
    <r>
      <rPr>
        <sz val="10"/>
        <rFont val="Arial"/>
        <family val="0"/>
      </rPr>
      <t>/</t>
    </r>
    <r>
      <rPr>
        <i/>
        <sz val="10"/>
        <rFont val="Arial"/>
        <family val="2"/>
      </rPr>
      <t>f</t>
    </r>
    <r>
      <rPr>
        <i/>
        <vertAlign val="subscript"/>
        <sz val="10"/>
        <rFont val="Arial"/>
        <family val="2"/>
      </rPr>
      <t>B</t>
    </r>
  </si>
  <si>
    <r>
      <t>(</t>
    </r>
    <r>
      <rPr>
        <i/>
        <sz val="10"/>
        <rFont val="Arial"/>
        <family val="2"/>
      </rPr>
      <t>q</t>
    </r>
    <r>
      <rPr>
        <i/>
        <vertAlign val="subscript"/>
        <sz val="10"/>
        <rFont val="Arial"/>
        <family val="2"/>
      </rPr>
      <t>B</t>
    </r>
    <r>
      <rPr>
        <vertAlign val="subscript"/>
        <sz val="10"/>
        <rFont val="Arial"/>
        <family val="2"/>
      </rPr>
      <t xml:space="preserve">  </t>
    </r>
    <r>
      <rPr>
        <sz val="10"/>
        <rFont val="Arial"/>
        <family val="0"/>
      </rPr>
      <t>-</t>
    </r>
    <r>
      <rPr>
        <i/>
        <sz val="10"/>
        <rFont val="Arial"/>
        <family val="2"/>
      </rPr>
      <t>q</t>
    </r>
    <r>
      <rPr>
        <i/>
        <vertAlign val="subscript"/>
        <sz val="10"/>
        <rFont val="Arial"/>
        <family val="2"/>
      </rPr>
      <t>0</t>
    </r>
    <r>
      <rPr>
        <sz val="10"/>
        <rFont val="Arial"/>
        <family val="0"/>
      </rPr>
      <t>)*</t>
    </r>
    <r>
      <rPr>
        <i/>
        <sz val="10"/>
        <rFont val="Arial"/>
        <family val="2"/>
      </rPr>
      <t>A*R</t>
    </r>
    <r>
      <rPr>
        <i/>
        <vertAlign val="subscript"/>
        <sz val="10"/>
        <rFont val="Arial"/>
        <family val="2"/>
      </rPr>
      <t>B</t>
    </r>
  </si>
  <si>
    <t>Maximum allowed LRFD axial load applied to foundation at grade</t>
  </si>
  <si>
    <t>Maximum allowed ASD axial load applied to foundation at grade</t>
  </si>
  <si>
    <t>Enter "0" (zero) values if using ASD</t>
  </si>
  <si>
    <r>
      <t xml:space="preserve">Required </t>
    </r>
    <r>
      <rPr>
        <i/>
        <sz val="10"/>
        <rFont val="Arial"/>
        <family val="2"/>
      </rPr>
      <t>M</t>
    </r>
    <r>
      <rPr>
        <i/>
        <vertAlign val="subscript"/>
        <sz val="10"/>
        <rFont val="Arial"/>
        <family val="2"/>
      </rPr>
      <t>U</t>
    </r>
  </si>
  <si>
    <r>
      <t>Required</t>
    </r>
    <r>
      <rPr>
        <i/>
        <sz val="10"/>
        <rFont val="Arial"/>
        <family val="2"/>
      </rPr>
      <t xml:space="preserve"> V</t>
    </r>
    <r>
      <rPr>
        <i/>
        <vertAlign val="subscript"/>
        <sz val="10"/>
        <rFont val="Arial"/>
        <family val="2"/>
      </rPr>
      <t>U</t>
    </r>
  </si>
  <si>
    <r>
      <t>B</t>
    </r>
    <r>
      <rPr>
        <vertAlign val="superscript"/>
        <sz val="10"/>
        <rFont val="Arial"/>
        <family val="2"/>
      </rPr>
      <t>2</t>
    </r>
    <r>
      <rPr>
        <sz val="10"/>
        <rFont val="Arial"/>
        <family val="0"/>
      </rPr>
      <t xml:space="preserve"> for square footing, 3.14*</t>
    </r>
    <r>
      <rPr>
        <i/>
        <sz val="10"/>
        <rFont val="Arial"/>
        <family val="2"/>
      </rPr>
      <t>B</t>
    </r>
    <r>
      <rPr>
        <vertAlign val="superscript"/>
        <sz val="10"/>
        <rFont val="Arial"/>
        <family val="2"/>
      </rPr>
      <t>2</t>
    </r>
    <r>
      <rPr>
        <sz val="10"/>
        <rFont val="Arial"/>
        <family val="0"/>
      </rPr>
      <t>/4 for round footing</t>
    </r>
  </si>
  <si>
    <r>
      <t>0.80 - 0.01·</t>
    </r>
    <r>
      <rPr>
        <i/>
        <sz val="10"/>
        <color indexed="8"/>
        <rFont val="Symbol"/>
        <family val="1"/>
      </rPr>
      <t>f =</t>
    </r>
  </si>
  <si>
    <r>
      <t>0.62 - 0.01·</t>
    </r>
    <r>
      <rPr>
        <i/>
        <sz val="10"/>
        <color indexed="8"/>
        <rFont val="Symbol"/>
        <family val="1"/>
      </rPr>
      <t>f =</t>
    </r>
  </si>
  <si>
    <r>
      <t>0.71 - 0.01·</t>
    </r>
    <r>
      <rPr>
        <i/>
        <sz val="10"/>
        <color indexed="8"/>
        <rFont val="Symbol"/>
        <family val="1"/>
      </rPr>
      <t>f =</t>
    </r>
  </si>
  <si>
    <r>
      <t>0.58 - 0.01·</t>
    </r>
    <r>
      <rPr>
        <i/>
        <sz val="10"/>
        <color indexed="8"/>
        <rFont val="Symbol"/>
        <family val="1"/>
      </rPr>
      <t>f =</t>
    </r>
  </si>
  <si>
    <r>
      <t>0.77 - 0.01·</t>
    </r>
    <r>
      <rPr>
        <i/>
        <sz val="10"/>
        <color indexed="8"/>
        <rFont val="Symbol"/>
        <family val="1"/>
      </rPr>
      <t>f =</t>
    </r>
  </si>
  <si>
    <r>
      <t>1.4/(0.80 - 0.01·</t>
    </r>
    <r>
      <rPr>
        <i/>
        <sz val="10"/>
        <color indexed="8"/>
        <rFont val="Symbol"/>
        <family val="1"/>
      </rPr>
      <t>f</t>
    </r>
    <r>
      <rPr>
        <sz val="10"/>
        <color indexed="8"/>
        <rFont val="Arial"/>
        <family val="2"/>
      </rPr>
      <t>) =</t>
    </r>
  </si>
  <si>
    <r>
      <t>1.4/(0.62 - 0.01·</t>
    </r>
    <r>
      <rPr>
        <i/>
        <sz val="10"/>
        <color indexed="8"/>
        <rFont val="Symbol"/>
        <family val="1"/>
      </rPr>
      <t>f</t>
    </r>
    <r>
      <rPr>
        <sz val="10"/>
        <color indexed="8"/>
        <rFont val="Arial"/>
        <family val="2"/>
      </rPr>
      <t>) =</t>
    </r>
  </si>
  <si>
    <r>
      <t>1.4/(0.71 - 0.01·</t>
    </r>
    <r>
      <rPr>
        <i/>
        <sz val="10"/>
        <color indexed="8"/>
        <rFont val="Symbol"/>
        <family val="1"/>
      </rPr>
      <t>f</t>
    </r>
    <r>
      <rPr>
        <sz val="10"/>
        <color indexed="8"/>
        <rFont val="Arial"/>
        <family val="2"/>
      </rPr>
      <t>) =</t>
    </r>
  </si>
  <si>
    <r>
      <t>1.4/(0.58 - 0.01·</t>
    </r>
    <r>
      <rPr>
        <i/>
        <sz val="10"/>
        <color indexed="8"/>
        <rFont val="Symbol"/>
        <family val="1"/>
      </rPr>
      <t>f</t>
    </r>
    <r>
      <rPr>
        <sz val="10"/>
        <color indexed="8"/>
        <rFont val="Arial"/>
        <family val="2"/>
      </rPr>
      <t>) =</t>
    </r>
  </si>
  <si>
    <r>
      <t>1.4/(0.77 - 0.01·</t>
    </r>
    <r>
      <rPr>
        <i/>
        <sz val="10"/>
        <color indexed="8"/>
        <rFont val="Symbol"/>
        <family val="1"/>
      </rPr>
      <t>f</t>
    </r>
    <r>
      <rPr>
        <sz val="10"/>
        <color indexed="8"/>
        <rFont val="Arial"/>
        <family val="2"/>
      </rPr>
      <t>) =</t>
    </r>
  </si>
  <si>
    <t>Normal Risk</t>
  </si>
  <si>
    <r>
      <t xml:space="preserve">For </t>
    </r>
    <r>
      <rPr>
        <i/>
        <sz val="10"/>
        <rFont val="Symbol"/>
        <family val="1"/>
      </rPr>
      <t>f</t>
    </r>
    <r>
      <rPr>
        <sz val="10"/>
        <rFont val="Arial"/>
        <family val="0"/>
      </rPr>
      <t xml:space="preserve"> =</t>
    </r>
  </si>
  <si>
    <t>Use appropriate table below</t>
  </si>
  <si>
    <t>Obtain from one of the below tables</t>
  </si>
  <si>
    <t xml:space="preserve">Equation constant </t>
  </si>
  <si>
    <t>Spring No.</t>
  </si>
  <si>
    <t>Depth</t>
  </si>
  <si>
    <t>Attached Collar</t>
  </si>
  <si>
    <t>Post/Pier (less footing)</t>
  </si>
  <si>
    <t>Dimension</t>
  </si>
  <si>
    <t>Units</t>
  </si>
  <si>
    <t>inches</t>
  </si>
  <si>
    <t>whole inches</t>
  </si>
  <si>
    <t>Embedment depth</t>
  </si>
  <si>
    <t>Width</t>
  </si>
  <si>
    <t>Thickness (depth)</t>
  </si>
  <si>
    <t>Depth to bottom</t>
  </si>
  <si>
    <t>Depth to top</t>
  </si>
  <si>
    <t>Value</t>
  </si>
  <si>
    <t>Attached Footing</t>
  </si>
  <si>
    <t>Notes</t>
  </si>
  <si>
    <t>Foundation Component</t>
  </si>
  <si>
    <t>Concrete or CLSM Backfill</t>
  </si>
  <si>
    <t>lbf</t>
  </si>
  <si>
    <t>lbf-in</t>
  </si>
  <si>
    <t>in-lbf</t>
  </si>
  <si>
    <t>Design Methodology</t>
  </si>
  <si>
    <t>Allowable Stress Design (ASD)</t>
  </si>
  <si>
    <t>Load and Resistance Factor Design (LRFD)</t>
  </si>
  <si>
    <t>Design Variable</t>
  </si>
  <si>
    <t>Soil Type</t>
  </si>
  <si>
    <t>Consistency</t>
  </si>
  <si>
    <t>Drained Cohesion, c'</t>
  </si>
  <si>
    <t>kPa</t>
  </si>
  <si>
    <t>Deg</t>
  </si>
  <si>
    <t>MPa</t>
  </si>
  <si>
    <t>MPa/m</t>
  </si>
  <si>
    <t>Homogeneous inorganic clay, sandy or silty clay</t>
  </si>
  <si>
    <t>CL</t>
  </si>
  <si>
    <t>Soft</t>
  </si>
  <si>
    <t>NA</t>
  </si>
  <si>
    <t>-</t>
  </si>
  <si>
    <t>Medium to Stiff</t>
  </si>
  <si>
    <t>Very Stiff to Hard</t>
  </si>
  <si>
    <t>Homogeneous inorganic clay of high plasticity</t>
  </si>
  <si>
    <t>CH</t>
  </si>
  <si>
    <t>Medium to stiff</t>
  </si>
  <si>
    <t>Inorganic silt, sandy or clayey silt, varved silt-clay-fine sand of low plasticity</t>
  </si>
  <si>
    <t>ML</t>
  </si>
  <si>
    <t>Inorganic silt, sandy or clayey silt, varved silt-clay-fine sand of high plasticity</t>
  </si>
  <si>
    <t>MH</t>
  </si>
  <si>
    <t>Silty or clayey fine to coarse sand</t>
  </si>
  <si>
    <t>SM, SC, SP-SM, SP-SC, SW-SM SW-SC</t>
  </si>
  <si>
    <t>Loose</t>
  </si>
  <si>
    <t>Medium to Dense</t>
  </si>
  <si>
    <t>Very Dense</t>
  </si>
  <si>
    <t>Clean sand with little gravel</t>
  </si>
  <si>
    <t>SW, SP</t>
  </si>
  <si>
    <t>Gravel, gravel-sand mixture, boulder-gravel mixtures</t>
  </si>
  <si>
    <t>GW, GP</t>
  </si>
  <si>
    <t>Well-graded mixture of fine- and coarse-grained soil: glacial till, hardpan, boulder clay</t>
  </si>
  <si>
    <t xml:space="preserve">Soil </t>
  </si>
  <si>
    <t>Cohesionless (SP, SW, GP. GW, GW-GC, GC, SC, SM, SP-SM, SP-SC, SW-SM, SW-SC)</t>
  </si>
  <si>
    <t>10.4.1</t>
  </si>
  <si>
    <t xml:space="preserve">10.4.2 </t>
  </si>
  <si>
    <t xml:space="preserve">Standard penetration test (SPT) </t>
  </si>
  <si>
    <t>10.4.3</t>
  </si>
  <si>
    <t xml:space="preserve">Cone penetration test (CPT) </t>
  </si>
  <si>
    <t>10.4.4</t>
  </si>
  <si>
    <t>Pressuremeter test (PMT)</t>
  </si>
  <si>
    <t>Cohesive (CL,CH, ML, MH)</t>
  </si>
  <si>
    <t>General bearing capacity equation with undrained shear strength determined from laboratory compression tests (see clause 5.7.1)</t>
  </si>
  <si>
    <t>General bearing capacity equation with undrained shear strength determined from PBPMT data in accordance with clause 5.7.2</t>
  </si>
  <si>
    <t>General bearing capacity equation with undrained shear strength determined from CPT data in accordance with clause 5.7.3</t>
  </si>
  <si>
    <t>General bearing capacity equation with undrained shear strength determined from in-situ vane tests in accordance with clause 5.7.4</t>
  </si>
  <si>
    <t>Soil</t>
  </si>
  <si>
    <t>Pressuremeter test (PMT) in accordance with clause 11.2.2</t>
  </si>
  <si>
    <t>Laboratory direct shear or axial compression tests (see clause 5.8.1)</t>
  </si>
  <si>
    <t>SPT data in accordance with clause 5.8.2</t>
  </si>
  <si>
    <t>CPT data in accordance with clause 5.8.3</t>
  </si>
  <si>
    <t>Laboratory compression tests (see clause 5.7.1)</t>
  </si>
  <si>
    <t>PBPMT data in accordance with clause 5.7.2</t>
  </si>
  <si>
    <t>CPT data in accordance with clause 5.7.3</t>
  </si>
  <si>
    <t>In-situ vane tests in accordance with clause 5.7.4</t>
  </si>
  <si>
    <r>
      <t>kN/m</t>
    </r>
    <r>
      <rPr>
        <vertAlign val="superscript"/>
        <sz val="10"/>
        <color indexed="8"/>
        <rFont val="Arial"/>
        <family val="2"/>
      </rPr>
      <t>3</t>
    </r>
  </si>
  <si>
    <r>
      <t>lbf/ft</t>
    </r>
    <r>
      <rPr>
        <vertAlign val="superscript"/>
        <sz val="10"/>
        <color indexed="8"/>
        <rFont val="Arial"/>
        <family val="2"/>
      </rPr>
      <t>3</t>
    </r>
  </si>
  <si>
    <r>
      <t>lbf/in</t>
    </r>
    <r>
      <rPr>
        <vertAlign val="superscript"/>
        <sz val="10"/>
        <color indexed="8"/>
        <rFont val="Arial"/>
        <family val="2"/>
      </rPr>
      <t>2</t>
    </r>
  </si>
  <si>
    <r>
      <t>(lbf/in</t>
    </r>
    <r>
      <rPr>
        <vertAlign val="superscript"/>
        <sz val="10"/>
        <color indexed="8"/>
        <rFont val="Arial"/>
        <family val="2"/>
      </rPr>
      <t>2</t>
    </r>
    <r>
      <rPr>
        <sz val="10"/>
        <color indexed="8"/>
        <rFont val="Arial"/>
        <family val="2"/>
      </rPr>
      <t>)/ft</t>
    </r>
  </si>
  <si>
    <r>
      <t>(b)</t>
    </r>
    <r>
      <rPr>
        <sz val="10"/>
        <color indexed="8"/>
        <rFont val="Arial"/>
        <family val="2"/>
      </rPr>
      <t xml:space="preserve"> Loading assumed slow enough that sandy soils behave in a drained manner.</t>
    </r>
  </si>
  <si>
    <r>
      <t>(c)</t>
    </r>
    <r>
      <rPr>
        <sz val="10"/>
        <color indexed="8"/>
        <rFont val="Arial"/>
        <family val="2"/>
      </rPr>
      <t xml:space="preserve"> Estimate of stiffness at rotation of 1</t>
    </r>
    <r>
      <rPr>
        <vertAlign val="superscript"/>
        <sz val="10"/>
        <color indexed="8"/>
        <rFont val="Arial"/>
        <family val="2"/>
      </rPr>
      <t>o</t>
    </r>
    <r>
      <rPr>
        <sz val="10"/>
        <color indexed="8"/>
        <rFont val="Arial"/>
        <family val="2"/>
      </rPr>
      <t xml:space="preserve"> for use in approximating structural load distribution. For evaluation of serviceability limit state use values that are 1/3 of tabulated value.</t>
    </r>
  </si>
  <si>
    <r>
      <t>(d)</t>
    </r>
    <r>
      <rPr>
        <sz val="10"/>
        <color indexed="8"/>
        <rFont val="Arial"/>
        <family val="2"/>
      </rPr>
      <t xml:space="preserve"> Constant values of stiffness used for calculation of clay response. Stiffness increasing with depth from a value of zero used for calculation of sand response.</t>
    </r>
  </si>
  <si>
    <r>
      <t>(e)</t>
    </r>
    <r>
      <rPr>
        <sz val="10"/>
        <color indexed="8"/>
        <rFont val="Arial"/>
        <family val="2"/>
      </rPr>
      <t xml:space="preserve"> Assumes soil is located below the water table.  Double the tabulated </t>
    </r>
    <r>
      <rPr>
        <i/>
        <sz val="10"/>
        <color indexed="8"/>
        <rFont val="Arial"/>
        <family val="2"/>
      </rPr>
      <t>A</t>
    </r>
    <r>
      <rPr>
        <i/>
        <vertAlign val="subscript"/>
        <sz val="10"/>
        <color indexed="8"/>
        <rFont val="Arial"/>
        <family val="2"/>
      </rPr>
      <t>E</t>
    </r>
    <r>
      <rPr>
        <sz val="10"/>
        <color indexed="8"/>
        <rFont val="Arial"/>
        <family val="2"/>
      </rPr>
      <t xml:space="preserve"> value for soils located above the water table.</t>
    </r>
  </si>
  <si>
    <t>Variable Description</t>
  </si>
  <si>
    <r>
      <t xml:space="preserve">Equation from clause 11.2.1 with soil friction angle </t>
    </r>
    <r>
      <rPr>
        <i/>
        <sz val="10"/>
        <color indexed="8"/>
        <rFont val="Symbol"/>
        <family val="1"/>
      </rPr>
      <t>f</t>
    </r>
    <r>
      <rPr>
        <i/>
        <sz val="10"/>
        <color indexed="8"/>
        <rFont val="Arial"/>
        <family val="2"/>
      </rPr>
      <t xml:space="preserve"> </t>
    </r>
    <r>
      <rPr>
        <sz val="10"/>
        <color indexed="8"/>
        <rFont val="Arial"/>
        <family val="2"/>
      </rPr>
      <t>from ASAE EP486.3 Table 1</t>
    </r>
  </si>
  <si>
    <r>
      <t xml:space="preserve">Equation from clause 11.2.1 with soil friction angle </t>
    </r>
    <r>
      <rPr>
        <i/>
        <sz val="10"/>
        <color indexed="8"/>
        <rFont val="Symbol"/>
        <family val="1"/>
      </rPr>
      <t>f</t>
    </r>
    <r>
      <rPr>
        <i/>
        <sz val="10"/>
        <color indexed="8"/>
        <rFont val="Arial"/>
        <family val="2"/>
      </rPr>
      <t xml:space="preserve"> </t>
    </r>
    <r>
      <rPr>
        <sz val="10"/>
        <color indexed="8"/>
        <rFont val="Arial"/>
        <family val="2"/>
      </rPr>
      <t>from ASAE EP486.3 Table 1, with soil type verified by construction testing</t>
    </r>
  </si>
  <si>
    <r>
      <t xml:space="preserve">Equation from clause 11.2.1 with undrained shear strength </t>
    </r>
    <r>
      <rPr>
        <i/>
        <sz val="10"/>
        <color indexed="8"/>
        <rFont val="Arial"/>
        <family val="2"/>
      </rPr>
      <t>S</t>
    </r>
    <r>
      <rPr>
        <i/>
        <vertAlign val="subscript"/>
        <sz val="10"/>
        <color indexed="8"/>
        <rFont val="Arial"/>
        <family val="2"/>
      </rPr>
      <t>U</t>
    </r>
    <r>
      <rPr>
        <sz val="10"/>
        <color indexed="8"/>
        <rFont val="Arial"/>
        <family val="2"/>
      </rPr>
      <t xml:space="preserve"> from ASAE EP486.3 Table 1</t>
    </r>
  </si>
  <si>
    <r>
      <t xml:space="preserve">Equation from clause 11.2.1 with undrained shear strength </t>
    </r>
    <r>
      <rPr>
        <i/>
        <sz val="10"/>
        <color indexed="8"/>
        <rFont val="Arial"/>
        <family val="2"/>
      </rPr>
      <t>S</t>
    </r>
    <r>
      <rPr>
        <i/>
        <vertAlign val="subscript"/>
        <sz val="10"/>
        <color indexed="8"/>
        <rFont val="Arial"/>
        <family val="2"/>
      </rPr>
      <t>U</t>
    </r>
    <r>
      <rPr>
        <sz val="10"/>
        <color indexed="8"/>
        <rFont val="Arial"/>
        <family val="2"/>
      </rPr>
      <t xml:space="preserve"> from ASAE EP486.3 Table 1 with soil type verified by construction testing</t>
    </r>
  </si>
  <si>
    <r>
      <t>(f)</t>
    </r>
    <r>
      <rPr>
        <sz val="10"/>
        <color indexed="8"/>
        <rFont val="Arial"/>
        <family val="2"/>
      </rPr>
      <t xml:space="preserve"> Poisson ratio of 0.5 (no volume change) assumes rapid undrained loading conditions.</t>
    </r>
  </si>
  <si>
    <t>GW-GC, GC, SC</t>
  </si>
  <si>
    <r>
      <t xml:space="preserve">General bearing capacity equation with </t>
    </r>
    <r>
      <rPr>
        <i/>
        <sz val="10"/>
        <color indexed="8"/>
        <rFont val="Symbol"/>
        <family val="1"/>
      </rPr>
      <t>f</t>
    </r>
    <r>
      <rPr>
        <i/>
        <sz val="10"/>
        <color indexed="8"/>
        <rFont val="Arial"/>
        <family val="2"/>
      </rPr>
      <t xml:space="preserve"> </t>
    </r>
    <r>
      <rPr>
        <sz val="10"/>
        <color indexed="8"/>
        <rFont val="Arial"/>
        <family val="2"/>
      </rPr>
      <t>determined from laboratory direct shear or axial compression tests (see clause 5.8.1)</t>
    </r>
  </si>
  <si>
    <r>
      <t xml:space="preserve">General bearing capacity equation with </t>
    </r>
    <r>
      <rPr>
        <i/>
        <sz val="10"/>
        <color indexed="8"/>
        <rFont val="Symbol"/>
        <family val="1"/>
      </rPr>
      <t>f</t>
    </r>
    <r>
      <rPr>
        <i/>
        <sz val="10"/>
        <color indexed="8"/>
        <rFont val="Arial"/>
        <family val="2"/>
      </rPr>
      <t xml:space="preserve"> </t>
    </r>
    <r>
      <rPr>
        <sz val="10"/>
        <color indexed="8"/>
        <rFont val="Arial"/>
        <family val="2"/>
      </rPr>
      <t>determined from SPT data in accordance with clause 5.8.2</t>
    </r>
  </si>
  <si>
    <r>
      <t xml:space="preserve">General bearing capacity equation with </t>
    </r>
    <r>
      <rPr>
        <i/>
        <sz val="10"/>
        <color indexed="8"/>
        <rFont val="Symbol"/>
        <family val="1"/>
      </rPr>
      <t>f</t>
    </r>
    <r>
      <rPr>
        <i/>
        <sz val="10"/>
        <color indexed="8"/>
        <rFont val="Arial"/>
        <family val="2"/>
      </rPr>
      <t xml:space="preserve"> </t>
    </r>
    <r>
      <rPr>
        <sz val="10"/>
        <color indexed="8"/>
        <rFont val="Arial"/>
        <family val="2"/>
      </rPr>
      <t>determined from CPT data in accordance with clause 5.8.3</t>
    </r>
  </si>
  <si>
    <r>
      <t xml:space="preserve">Equation from clause 11.2.1 with soil friction angle </t>
    </r>
    <r>
      <rPr>
        <i/>
        <sz val="10"/>
        <color indexed="8"/>
        <rFont val="Symbol"/>
        <family val="1"/>
      </rPr>
      <t>f</t>
    </r>
    <r>
      <rPr>
        <i/>
        <sz val="10"/>
        <color indexed="8"/>
        <rFont val="Arial"/>
        <family val="2"/>
      </rPr>
      <t xml:space="preserve"> </t>
    </r>
    <r>
      <rPr>
        <sz val="10"/>
        <color indexed="8"/>
        <rFont val="Arial"/>
        <family val="2"/>
      </rPr>
      <t>determined from laboratory direct shear or axial compression tests (see clause 5.8.1)</t>
    </r>
  </si>
  <si>
    <r>
      <t xml:space="preserve">Equation from clause 11.2.1 with soil friction angle </t>
    </r>
    <r>
      <rPr>
        <i/>
        <sz val="10"/>
        <color indexed="8"/>
        <rFont val="Symbol"/>
        <family val="1"/>
      </rPr>
      <t>f</t>
    </r>
    <r>
      <rPr>
        <i/>
        <sz val="10"/>
        <color indexed="8"/>
        <rFont val="Arial"/>
        <family val="2"/>
      </rPr>
      <t xml:space="preserve"> </t>
    </r>
    <r>
      <rPr>
        <sz val="10"/>
        <color indexed="8"/>
        <rFont val="Arial"/>
        <family val="2"/>
      </rPr>
      <t>determined from SPT data in accordance with clause 5.8.2</t>
    </r>
  </si>
  <si>
    <r>
      <t xml:space="preserve">Equation from clause 11.2.1 with soil friction angle </t>
    </r>
    <r>
      <rPr>
        <i/>
        <sz val="10"/>
        <color indexed="8"/>
        <rFont val="Symbol"/>
        <family val="1"/>
      </rPr>
      <t>f</t>
    </r>
    <r>
      <rPr>
        <i/>
        <sz val="10"/>
        <color indexed="8"/>
        <rFont val="Arial"/>
        <family val="2"/>
      </rPr>
      <t xml:space="preserve"> </t>
    </r>
    <r>
      <rPr>
        <sz val="10"/>
        <color indexed="8"/>
        <rFont val="Arial"/>
        <family val="2"/>
      </rPr>
      <t>determined from CPT data in accordance with clause 5.8.3</t>
    </r>
  </si>
  <si>
    <r>
      <t xml:space="preserve">Equation from clause 11.2.1 with undrained shear strength </t>
    </r>
    <r>
      <rPr>
        <i/>
        <sz val="10"/>
        <color indexed="8"/>
        <rFont val="Arial"/>
        <family val="2"/>
      </rPr>
      <t>S</t>
    </r>
    <r>
      <rPr>
        <i/>
        <vertAlign val="subscript"/>
        <sz val="10"/>
        <color indexed="8"/>
        <rFont val="Arial"/>
        <family val="2"/>
      </rPr>
      <t>U</t>
    </r>
    <r>
      <rPr>
        <sz val="10"/>
        <color indexed="8"/>
        <rFont val="Arial"/>
        <family val="2"/>
      </rPr>
      <t xml:space="preserve"> determined from laboratory compression tests (see clause 5.7.1)</t>
    </r>
  </si>
  <si>
    <t>Definitions</t>
  </si>
  <si>
    <t>Enter a "1" for Option 1, a "2" for Option 2, a "3" for Option 3</t>
  </si>
  <si>
    <t>A method of proportioning structural members such that the computed forces produced in the members by the factored loads do not exceed the member design strength. Also called “load and resistance factor design”.</t>
  </si>
  <si>
    <t>Any analysis used to determine the distribution of applied structural loads to various structural elements.</t>
  </si>
  <si>
    <t>Any upward or downward force applied to the foundation.</t>
  </si>
  <si>
    <t>Resistance provided by the soil to the vertical force acting to withdraw the foundation.</t>
  </si>
  <si>
    <r>
      <t xml:space="preserve">A value assigned to the stiffness of a spring used to model the resistance provided by a soil layer with thickness, </t>
    </r>
    <r>
      <rPr>
        <i/>
        <sz val="10"/>
        <rFont val="Arial"/>
        <family val="2"/>
      </rPr>
      <t>t</t>
    </r>
    <r>
      <rPr>
        <sz val="10"/>
        <rFont val="Arial"/>
        <family val="2"/>
      </rPr>
      <t xml:space="preserve">, to the lateral movement of a foundation element with thickness, </t>
    </r>
    <r>
      <rPr>
        <i/>
        <sz val="10"/>
        <rFont val="Arial"/>
        <family val="2"/>
      </rPr>
      <t>b</t>
    </r>
    <r>
      <rPr>
        <sz val="10"/>
        <rFont val="Arial"/>
        <family val="2"/>
      </rPr>
      <t xml:space="preserve">. Numerically equal to the product of </t>
    </r>
    <r>
      <rPr>
        <i/>
        <sz val="10"/>
        <rFont val="Arial"/>
        <family val="2"/>
      </rPr>
      <t>t,</t>
    </r>
    <r>
      <rPr>
        <sz val="10"/>
        <rFont val="Arial"/>
        <family val="2"/>
      </rPr>
      <t xml:space="preserve"> </t>
    </r>
    <r>
      <rPr>
        <i/>
        <sz val="10"/>
        <rFont val="Arial"/>
        <family val="2"/>
      </rPr>
      <t>b</t>
    </r>
    <r>
      <rPr>
        <sz val="10"/>
        <rFont val="Arial"/>
        <family val="2"/>
      </rPr>
      <t xml:space="preserve"> and the modulus of horizontal subgrade reaction </t>
    </r>
    <r>
      <rPr>
        <i/>
        <sz val="10"/>
        <rFont val="Arial"/>
        <family val="2"/>
      </rPr>
      <t>k.</t>
    </r>
  </si>
  <si>
    <t>Pressure applied normal to the base of the foundation by the soil in response to all downward forces acting on the foundation.</t>
  </si>
  <si>
    <t>A round post.</t>
  </si>
  <si>
    <t>A structural column that functions as a major foundation element by providing lateral and vertical support for a structure when it is embedded in the soil. Posts include members of any material with assigned structural properties such as solid or laminated wood, steel, or concrete. See Figures 1 and 5.</t>
  </si>
  <si>
    <t>A relatively short column partly embedded in the soil to provide lateral and vertical support for a building or other structure. Piers include members of any material with assigned structural properties such as solid or laminated wood, steel, or concrete. Piers differ from embedded posts in that they seldom extend above the lowest horizontal framing element in a structure, and when they do, it is often only a few centimeters. See Figures 2 through 4.</t>
  </si>
  <si>
    <t>A relatively short column that can support vertical forces, but is not designed to transmit horizontal shear, and bending moments. This engineering practice is not applicable to the design of pedestals.</t>
  </si>
  <si>
    <t>A pier comprised of a steel pipe or tubing with an attached helix or helices. See Figure 2. Helices are also known as auger flighting. A helical pier is a type of driven pier that is turned into the soil in a manner that minimizes soil movement/displacement.</t>
  </si>
  <si>
    <t>A pier or post that is pounded or turned into the ground. A pier or post foundation not requiring prior soil excavation. Also referred to as a displacement pier or post. See Figure 2.</t>
  </si>
  <si>
    <t>Foundation component attached to a post or pier, and that moves with it to resist lateral and vertical loads. See Figure 5.</t>
  </si>
  <si>
    <t>Material filling the excavation around a post or pier foundation. See Figure 5.</t>
  </si>
  <si>
    <t xml:space="preserve">non-constrained post (or pier) </t>
  </si>
  <si>
    <r>
      <t>post (or pier) width,</t>
    </r>
    <r>
      <rPr>
        <b/>
        <i/>
        <sz val="10"/>
        <rFont val="Arial"/>
        <family val="2"/>
      </rPr>
      <t xml:space="preserve"> B</t>
    </r>
    <r>
      <rPr>
        <b/>
        <sz val="10"/>
        <rFont val="Arial"/>
        <family val="2"/>
      </rPr>
      <t xml:space="preserve"> </t>
    </r>
  </si>
  <si>
    <r>
      <t xml:space="preserve">cohesion of soil, </t>
    </r>
    <r>
      <rPr>
        <b/>
        <i/>
        <sz val="10"/>
        <rFont val="Arial"/>
        <family val="2"/>
      </rPr>
      <t xml:space="preserve">c </t>
    </r>
  </si>
  <si>
    <t xml:space="preserve">controlled low-strength material (CLSM) </t>
  </si>
  <si>
    <r>
      <t xml:space="preserve">constant of horizontal subgrade reaction, </t>
    </r>
    <r>
      <rPr>
        <b/>
        <i/>
        <sz val="10"/>
        <rFont val="Arial"/>
        <family val="2"/>
      </rPr>
      <t>n</t>
    </r>
    <r>
      <rPr>
        <b/>
        <i/>
        <vertAlign val="subscript"/>
        <sz val="10"/>
        <rFont val="Arial"/>
        <family val="2"/>
      </rPr>
      <t>h</t>
    </r>
    <r>
      <rPr>
        <b/>
        <i/>
        <sz val="10"/>
        <rFont val="Arial"/>
        <family val="2"/>
      </rPr>
      <t xml:space="preserve"> </t>
    </r>
  </si>
  <si>
    <r>
      <t xml:space="preserve">dry bulk density of soil, </t>
    </r>
    <r>
      <rPr>
        <b/>
        <i/>
        <sz val="10"/>
        <rFont val="Arial"/>
        <family val="2"/>
      </rPr>
      <t>ρ</t>
    </r>
    <r>
      <rPr>
        <b/>
        <i/>
        <vertAlign val="subscript"/>
        <sz val="10"/>
        <rFont val="Arial"/>
        <family val="2"/>
      </rPr>
      <t>D</t>
    </r>
    <r>
      <rPr>
        <b/>
        <sz val="10"/>
        <rFont val="Arial"/>
        <family val="2"/>
      </rPr>
      <t xml:space="preserve"> </t>
    </r>
  </si>
  <si>
    <t xml:space="preserve">effective stress </t>
  </si>
  <si>
    <t>frost heave</t>
  </si>
  <si>
    <r>
      <t xml:space="preserve">moist bulk density of soil, </t>
    </r>
    <r>
      <rPr>
        <b/>
        <i/>
        <sz val="10"/>
        <rFont val="Arial"/>
        <family val="2"/>
      </rPr>
      <t xml:space="preserve">ρ </t>
    </r>
  </si>
  <si>
    <r>
      <t>Poisson’s ratio,</t>
    </r>
    <r>
      <rPr>
        <b/>
        <i/>
        <sz val="10"/>
        <rFont val="Arial"/>
        <family val="2"/>
      </rPr>
      <t xml:space="preserve"> ν </t>
    </r>
  </si>
  <si>
    <r>
      <t>soil friction angle,</t>
    </r>
    <r>
      <rPr>
        <b/>
        <i/>
        <sz val="10"/>
        <rFont val="Arial"/>
        <family val="2"/>
      </rPr>
      <t xml:space="preserve"> </t>
    </r>
    <r>
      <rPr>
        <b/>
        <i/>
        <sz val="10"/>
        <rFont val="Symbol"/>
        <family val="1"/>
      </rPr>
      <t>f</t>
    </r>
  </si>
  <si>
    <t>swelling soil</t>
  </si>
  <si>
    <r>
      <t xml:space="preserve">undrained shear strength, </t>
    </r>
    <r>
      <rPr>
        <b/>
        <i/>
        <sz val="10"/>
        <rFont val="Arial"/>
        <family val="2"/>
      </rPr>
      <t>S</t>
    </r>
    <r>
      <rPr>
        <b/>
        <i/>
        <vertAlign val="subscript"/>
        <sz val="10"/>
        <rFont val="Arial"/>
        <family val="2"/>
      </rPr>
      <t>U</t>
    </r>
    <r>
      <rPr>
        <b/>
        <i/>
        <sz val="10"/>
        <rFont val="Arial"/>
        <family val="2"/>
      </rPr>
      <t xml:space="preserve"> </t>
    </r>
  </si>
  <si>
    <r>
      <t xml:space="preserve">Young’s modulus for soil, </t>
    </r>
    <r>
      <rPr>
        <b/>
        <i/>
        <sz val="10"/>
        <rFont val="Arial"/>
        <family val="2"/>
      </rPr>
      <t>E</t>
    </r>
    <r>
      <rPr>
        <b/>
        <i/>
        <vertAlign val="subscript"/>
        <sz val="10"/>
        <rFont val="Arial"/>
        <family val="2"/>
      </rPr>
      <t>S</t>
    </r>
    <r>
      <rPr>
        <b/>
        <sz val="10"/>
        <rFont val="Arial"/>
        <family val="2"/>
      </rPr>
      <t xml:space="preserve"> </t>
    </r>
  </si>
  <si>
    <r>
      <t xml:space="preserve">bearing pressure, </t>
    </r>
    <r>
      <rPr>
        <b/>
        <i/>
        <sz val="10"/>
        <rFont val="Arial"/>
        <family val="2"/>
      </rPr>
      <t>q</t>
    </r>
  </si>
  <si>
    <t xml:space="preserve">allowable stress design </t>
  </si>
  <si>
    <r>
      <t xml:space="preserve">modulus of horizontal subgrade reaction, </t>
    </r>
    <r>
      <rPr>
        <b/>
        <i/>
        <sz val="10"/>
        <rFont val="Arial"/>
        <family val="2"/>
      </rPr>
      <t xml:space="preserve">k </t>
    </r>
  </si>
  <si>
    <r>
      <t>modulus of vertical subgrade reaction,</t>
    </r>
    <r>
      <rPr>
        <b/>
        <i/>
        <sz val="10"/>
        <rFont val="Arial"/>
        <family val="2"/>
      </rPr>
      <t xml:space="preserve"> k</t>
    </r>
    <r>
      <rPr>
        <b/>
        <i/>
        <vertAlign val="subscript"/>
        <sz val="10"/>
        <rFont val="Arial"/>
        <family val="2"/>
      </rPr>
      <t>v</t>
    </r>
  </si>
  <si>
    <t xml:space="preserve">lateral loading </t>
  </si>
  <si>
    <r>
      <t xml:space="preserve">lateral soil pressure, </t>
    </r>
    <r>
      <rPr>
        <b/>
        <i/>
        <sz val="10"/>
        <rFont val="Arial"/>
        <family val="2"/>
      </rPr>
      <t>p</t>
    </r>
    <r>
      <rPr>
        <b/>
        <sz val="10"/>
        <rFont val="Arial"/>
        <family val="2"/>
      </rPr>
      <t xml:space="preserve"> </t>
    </r>
  </si>
  <si>
    <t xml:space="preserve">load combination </t>
  </si>
  <si>
    <t xml:space="preserve">load factor </t>
  </si>
  <si>
    <t xml:space="preserve">nominal loads </t>
  </si>
  <si>
    <t xml:space="preserve">required soil strength </t>
  </si>
  <si>
    <t xml:space="preserve">resistance factor </t>
  </si>
  <si>
    <r>
      <t xml:space="preserve">spring constant, </t>
    </r>
    <r>
      <rPr>
        <b/>
        <i/>
        <sz val="10"/>
        <rFont val="Arial"/>
        <family val="2"/>
      </rPr>
      <t>K</t>
    </r>
    <r>
      <rPr>
        <b/>
        <i/>
        <vertAlign val="subscript"/>
        <sz val="10"/>
        <rFont val="Arial"/>
        <family val="2"/>
      </rPr>
      <t>H</t>
    </r>
  </si>
  <si>
    <t xml:space="preserve">strength design </t>
  </si>
  <si>
    <t xml:space="preserve">structural analysis </t>
  </si>
  <si>
    <t xml:space="preserve">vertical loading </t>
  </si>
  <si>
    <t>uplift resistance</t>
  </si>
  <si>
    <t>Definitions: Foundation Types and Components</t>
  </si>
  <si>
    <t>Definitions: Foundation Geometry and Constraints</t>
  </si>
  <si>
    <t>Definitions: Material Properties and Characteristics</t>
  </si>
  <si>
    <t>Definitions: Structural Loads and Analysis</t>
  </si>
  <si>
    <t>Nomenclature: Variables and Constants</t>
  </si>
  <si>
    <t>Purpose of ASAE EP486.3</t>
  </si>
  <si>
    <t>Scope of ASAE EP486.3</t>
  </si>
  <si>
    <t>Limitations of ASAE EP486.3</t>
  </si>
  <si>
    <t>This Workbook</t>
  </si>
  <si>
    <t>Worksheet Title</t>
  </si>
  <si>
    <t>Worksheet Description</t>
  </si>
  <si>
    <t>ASAE EP486.3 contains procedures for determining the adequacy of shallow, isolated post and pier foundations in resisting applied structural loads. The EP helps ensure that soil and backfill are not overloaded, foundation elements have adequate strength, frost heave is minimized, and lateral movements are not excessive.</t>
  </si>
  <si>
    <t>ASAE EP486.3  contains safety factors and other provisions for allowable stress design (ASD) which is also known as working stress design, and for load and resistance factor design (LRFD) which is also known as strength design. It also contains properties and procedures for modeling soil deformation for use in structural building frame analyses.</t>
  </si>
  <si>
    <t>Contents of ASAE EP486.3</t>
  </si>
  <si>
    <t xml:space="preserve">This workbook facilitates the application of major portions of the third revision to ASABE's engineering practice (EP) for the design of shallow post and pier foundations.  The third revision is designated as ASAE EP486.3 and was released in September, 2017.  ASAE EP486.3 is designated by ANSI as an American National Standard. </t>
  </si>
  <si>
    <t>Clause</t>
  </si>
  <si>
    <t>Clause Title</t>
  </si>
  <si>
    <t>Content Description</t>
  </si>
  <si>
    <t>Purpose and scope</t>
  </si>
  <si>
    <t>Use/limitations of the EP486</t>
  </si>
  <si>
    <t>Normative references</t>
  </si>
  <si>
    <t>Definitions covering foundation types and components, foundation geometry and constraints, material properties and characteristics, and structural loads and analysis</t>
  </si>
  <si>
    <t>Abbreviations; symbols for variables and constants</t>
  </si>
  <si>
    <t>Soil and backfill properties</t>
  </si>
  <si>
    <t>Foundation material properties</t>
  </si>
  <si>
    <t>Material requirements for post and pier foundation elements</t>
  </si>
  <si>
    <t>Structural load combinations</t>
  </si>
  <si>
    <t>ASCE 7 load combinations for allowable stress design (ASD) and load and resistance factor design (LRFD)</t>
  </si>
  <si>
    <t>Structural analysis</t>
  </si>
  <si>
    <t>Methods for modeling resistance of soil to lateral foundation movement</t>
  </si>
  <si>
    <t>Resistance and safety factors</t>
  </si>
  <si>
    <t>General bearing capacity equation with presumptive soil properties from ASAE EP486.3 Table 1</t>
  </si>
  <si>
    <t>General bearing capacity equation with presumptive soil properties from ASAE EP486.3 Table 1 with soil type verified by construction testing</t>
  </si>
  <si>
    <r>
      <t>Method used to determine ultimate lateral soil resistance, p</t>
    </r>
    <r>
      <rPr>
        <b/>
        <vertAlign val="subscript"/>
        <sz val="10"/>
        <color indexed="8"/>
        <rFont val="Arial"/>
        <family val="2"/>
      </rPr>
      <t xml:space="preserve">U,z </t>
    </r>
    <r>
      <rPr>
        <b/>
        <vertAlign val="superscript"/>
        <sz val="10"/>
        <color indexed="8"/>
        <rFont val="Arial"/>
        <family val="2"/>
      </rPr>
      <t>(a)</t>
    </r>
  </si>
  <si>
    <t xml:space="preserve"> - Width of below-grade portion of the foundation is constant.  This generally means there are no attached collars or footings effectively in resisting lateral soil forces</t>
  </si>
  <si>
    <t>ASAE EP486.3 Table 1</t>
  </si>
  <si>
    <t>ASAE EP486.3 Table 1 with soil type verified by construction testing</t>
  </si>
  <si>
    <t>Resistance factors for LRFD design and corresponding safety factors for ASD design</t>
  </si>
  <si>
    <t>Bearing strength assessment</t>
  </si>
  <si>
    <t>Determination of the maximum downward force that can be applied to foundation at groundline without causing a soil failure</t>
  </si>
  <si>
    <t>Lateral strength assessment</t>
  </si>
  <si>
    <t>Determination of the maximum bending moment and shear force combinations that can be applied to foundation at groundline without causing a soil failure</t>
  </si>
  <si>
    <t>Uplift strength assessment</t>
  </si>
  <si>
    <t xml:space="preserve">ASAE EP486.3 Table 3 - LRFD Resistance Factors and ASD Safety Factors for Lateral Strength Assessment using the Universal Method of Analysis </t>
  </si>
  <si>
    <t>ASAE EP486.3 Table 2 - LRFD Resistance Factors and ASD Safety Factors for Bearing Strength Assessment</t>
  </si>
  <si>
    <t>Determination of the maximum upward force that can be applied to foundation at groundline without causing a soil failure</t>
  </si>
  <si>
    <t>Frost heave considerations</t>
  </si>
  <si>
    <t>Factors that affect frost heave; options for reducing frost heave</t>
  </si>
  <si>
    <t>Installation requirements</t>
  </si>
  <si>
    <t>Soil compaction requirements; footing and foundation placement tolerances</t>
  </si>
  <si>
    <r>
      <t>Soils that should be avoided during post</t>
    </r>
    <r>
      <rPr>
        <i/>
        <sz val="10"/>
        <rFont val="Arial"/>
        <family val="2"/>
      </rPr>
      <t>/</t>
    </r>
    <r>
      <rPr>
        <sz val="10"/>
        <rFont val="Arial"/>
        <family val="2"/>
      </rPr>
      <t>pier construction; appropriate backfill materials; establishment of Young’s modulus, undrained shear strength, and friction angle of soils from laboratory and in-situ tests; presumptive soil properties</t>
    </r>
  </si>
  <si>
    <t>Availability of ASAE EP486.3</t>
  </si>
  <si>
    <t>Contents of This Workbook</t>
  </si>
  <si>
    <t>Introduction</t>
  </si>
  <si>
    <t>Soil Profile</t>
  </si>
  <si>
    <t>Lateral Strength Assessment - S</t>
  </si>
  <si>
    <t>Definitions and Nomenclature</t>
  </si>
  <si>
    <t>(This page) Material from ASAE EP486.3 Clause 1 plus additional introductory material</t>
  </si>
  <si>
    <t>Uplift Strength Assessment</t>
  </si>
  <si>
    <t>Lateral Strength Assessment - U</t>
  </si>
  <si>
    <t>Referenced documents (e.g. ASTM Standards) needed for application of various portions of the EP486</t>
  </si>
  <si>
    <t>Worksheet Cell Color</t>
  </si>
  <si>
    <t>Worksheet Cell Content</t>
  </si>
  <si>
    <t>Workbook Cell Color Identifiers</t>
  </si>
  <si>
    <t>Fixed Values and Basic Information</t>
  </si>
  <si>
    <t>Application of ASAE EP 486.3 (and hence this workbook) is limited to post and pier foundations that: (1) are vertically installed in relatively level terrain, (2) feature concentrically-loaded footings, and (3) have a minimum post or pier foundation spacing equal to the greater of 4.5 times the maximum dimension of the post/pier cross section. or three times the maximum dimension of a footing or attached collar.</t>
  </si>
  <si>
    <t xml:space="preserve">ANSI/ASAE EP486.3 is available from ASABE, St Joseph, MI.  Options for attaining a full-text version in electronic or hard copy are given at http://elibrary.asabe.org/subscribe.asp </t>
  </si>
  <si>
    <t>All definitions from ASAE EP486.3 Clause 3, variable descriptions and symbols from ASAE EP486.3 Clause 4, and ASAE EP486.3 figures 1 through 5.</t>
  </si>
  <si>
    <t>Bearing Strength Assessment</t>
  </si>
  <si>
    <t>Calculation of uplift strength in accordance with ASAE EP486.3 Clause 12.  Includes ASAE EP486.3 Table 5 (LRFD resistance factors and ASD safety factors for uplift strength assessment) and a foundation mass estimator.</t>
  </si>
  <si>
    <t>Calculation of lateral strength in accordance with the Universal Method outlined ASAE EP486.3 Clause 11.  Includes ASAE EP486.3 Table 3 (LRFD resistance factors and ASD safety factors for lateral strength assessment using the Universal Method of analysis).</t>
  </si>
  <si>
    <t>Calculation of lateral strength in accordance with the Simplified Method outlined ASAE EP486.3 Clause 11.  Includes ASAE EP486.3 Table 4 (LRFD resistance factors and ASD safety factors for lateral strength assessment using the Simplified Method of analysis).</t>
  </si>
  <si>
    <t>Calculation of bearing strength in accordance with ASAE EP486.3 Clause 10.  Includes ASAE EP486.3 Table 2 (LRFD resistance factors and ASD safety factors for bearing strength assessment).</t>
  </si>
  <si>
    <r>
      <t xml:space="preserve">Calculation of total vertical stress and ultimate lateral resistance for 1.0 inch thick soil layers. Requires input of soil properties for depths from the ground surface to a depth of 1.5 </t>
    </r>
    <r>
      <rPr>
        <i/>
        <sz val="10"/>
        <rFont val="Arial"/>
        <family val="2"/>
      </rPr>
      <t>B</t>
    </r>
    <r>
      <rPr>
        <sz val="10"/>
        <rFont val="Arial"/>
        <family val="2"/>
      </rPr>
      <t xml:space="preserve"> below the footing where </t>
    </r>
    <r>
      <rPr>
        <i/>
        <sz val="10"/>
        <rFont val="Arial"/>
        <family val="2"/>
      </rPr>
      <t>B</t>
    </r>
    <r>
      <rPr>
        <sz val="10"/>
        <rFont val="Arial"/>
        <family val="2"/>
      </rPr>
      <t xml:space="preserve"> is the footing width. Includes ASAE EP486.3 Table 1 (Presumptive soil properties for post and pier foundation design).</t>
    </r>
  </si>
  <si>
    <r>
      <t>(a)</t>
    </r>
    <r>
      <rPr>
        <sz val="10"/>
        <color indexed="8"/>
        <rFont val="Arial"/>
        <family val="2"/>
      </rPr>
      <t xml:space="preserve"> Rapid undrained loading will typically be the critical design scenario in predominately silt and/or clay soils. Laboratory testing is recommended to assess clay friction angle for drained loading analysis.</t>
    </r>
  </si>
  <si>
    <t>Workbook Limitations</t>
  </si>
  <si>
    <t>A comparison of the contents of this workbook with the contents of ASAE EP486.3 reveals that this workbook does not address ASAE EP 486.3 Clauses 5, 6, 7, 8 13 and 14.  The omitted content includes all load calaculations and methods for predicting the lateral displacement of a foundation due to applied loads.</t>
  </si>
  <si>
    <t>Workbook User Manual</t>
  </si>
  <si>
    <r>
      <t xml:space="preserve">ASABE Paper Number 1700665 titled </t>
    </r>
    <r>
      <rPr>
        <i/>
        <sz val="10"/>
        <rFont val="Arial"/>
        <family val="2"/>
      </rPr>
      <t>Post and Pier Foundation Design Aid</t>
    </r>
    <r>
      <rPr>
        <sz val="10"/>
        <rFont val="Arial"/>
        <family val="2"/>
      </rPr>
      <t xml:space="preserve"> (DOI: 10.13031/aim.201700665) serves as a defacto user manual for this workbook.  It contains background information to help guide uers.  This includes a demonstration of the USDA NRCS Web Soil Survey (WSS) site to obtain soil profile information. 
</t>
    </r>
  </si>
  <si>
    <t>Column Headings</t>
  </si>
  <si>
    <t>The cell colors in this workbook denote the type of content in the cells. For example, any cell that is yellow is an unlocked cell that requires an input value from the user.</t>
  </si>
  <si>
    <t>Nomenclature (Symbols)</t>
  </si>
  <si>
    <r>
      <t>footing bearing area, m</t>
    </r>
    <r>
      <rPr>
        <vertAlign val="superscript"/>
        <sz val="10"/>
        <rFont val="Arial"/>
        <family val="2"/>
      </rPr>
      <t>2</t>
    </r>
    <r>
      <rPr>
        <sz val="10"/>
        <rFont val="Arial"/>
        <family val="2"/>
      </rPr>
      <t xml:space="preserve"> (in</t>
    </r>
    <r>
      <rPr>
        <vertAlign val="superscript"/>
        <sz val="10"/>
        <rFont val="Arial"/>
        <family val="2"/>
      </rPr>
      <t>2</t>
    </r>
    <r>
      <rPr>
        <sz val="10"/>
        <rFont val="Arial"/>
        <family val="2"/>
      </rPr>
      <t>)</t>
    </r>
  </si>
  <si>
    <r>
      <t>A</t>
    </r>
    <r>
      <rPr>
        <i/>
        <vertAlign val="subscript"/>
        <sz val="10"/>
        <rFont val="Arial"/>
        <family val="2"/>
      </rPr>
      <t>E</t>
    </r>
  </si>
  <si>
    <r>
      <t xml:space="preserve">linear increase in Young’s modulus with depth </t>
    </r>
    <r>
      <rPr>
        <i/>
        <sz val="10"/>
        <rFont val="Arial"/>
        <family val="2"/>
      </rPr>
      <t>z</t>
    </r>
    <r>
      <rPr>
        <sz val="10"/>
        <rFont val="Arial"/>
        <family val="2"/>
      </rPr>
      <t xml:space="preserve"> below grade, kPa</t>
    </r>
    <r>
      <rPr>
        <i/>
        <sz val="10"/>
        <rFont val="Arial"/>
        <family val="2"/>
      </rPr>
      <t>/</t>
    </r>
    <r>
      <rPr>
        <sz val="10"/>
        <rFont val="Arial"/>
        <family val="2"/>
      </rPr>
      <t>m (lbf</t>
    </r>
    <r>
      <rPr>
        <i/>
        <sz val="10"/>
        <rFont val="Arial"/>
        <family val="2"/>
      </rPr>
      <t>/</t>
    </r>
    <r>
      <rPr>
        <i/>
        <vertAlign val="superscript"/>
        <sz val="10"/>
        <rFont val="Arial"/>
        <family val="2"/>
      </rPr>
      <t xml:space="preserve"> </t>
    </r>
    <r>
      <rPr>
        <sz val="10"/>
        <rFont val="Arial"/>
        <family val="2"/>
      </rPr>
      <t>in</t>
    </r>
    <r>
      <rPr>
        <vertAlign val="superscript"/>
        <sz val="10"/>
        <rFont val="Arial"/>
        <family val="2"/>
      </rPr>
      <t>2</t>
    </r>
    <r>
      <rPr>
        <i/>
        <sz val="10"/>
        <rFont val="Arial"/>
        <family val="2"/>
      </rPr>
      <t>/</t>
    </r>
    <r>
      <rPr>
        <i/>
        <vertAlign val="superscript"/>
        <sz val="10"/>
        <rFont val="Arial"/>
        <family val="2"/>
      </rPr>
      <t xml:space="preserve"> </t>
    </r>
    <r>
      <rPr>
        <sz val="10"/>
        <rFont val="Arial"/>
        <family val="2"/>
      </rPr>
      <t xml:space="preserve">in). When </t>
    </r>
    <r>
      <rPr>
        <i/>
        <sz val="10"/>
        <rFont val="Arial"/>
        <family val="2"/>
      </rPr>
      <t>A</t>
    </r>
    <r>
      <rPr>
        <i/>
        <vertAlign val="subscript"/>
        <sz val="10"/>
        <rFont val="Arial"/>
        <family val="2"/>
      </rPr>
      <t>E</t>
    </r>
    <r>
      <rPr>
        <sz val="10"/>
        <rFont val="Arial"/>
        <family val="2"/>
      </rPr>
      <t xml:space="preserve"> is multiplied by depth </t>
    </r>
    <r>
      <rPr>
        <i/>
        <sz val="10"/>
        <rFont val="Arial"/>
        <family val="2"/>
      </rPr>
      <t>z</t>
    </r>
    <r>
      <rPr>
        <sz val="10"/>
        <rFont val="Arial"/>
        <family val="2"/>
      </rPr>
      <t xml:space="preserve">, Young’s modulus </t>
    </r>
    <r>
      <rPr>
        <i/>
        <sz val="10"/>
        <rFont val="Arial"/>
        <family val="2"/>
      </rPr>
      <t>E</t>
    </r>
    <r>
      <rPr>
        <i/>
        <vertAlign val="subscript"/>
        <sz val="10"/>
        <rFont val="Arial"/>
        <family val="2"/>
      </rPr>
      <t>S</t>
    </r>
    <r>
      <rPr>
        <sz val="10"/>
        <rFont val="Arial"/>
        <family val="2"/>
      </rPr>
      <t xml:space="preserve"> at depth </t>
    </r>
    <r>
      <rPr>
        <i/>
        <sz val="10"/>
        <rFont val="Arial"/>
        <family val="2"/>
      </rPr>
      <t>z</t>
    </r>
    <r>
      <rPr>
        <sz val="10"/>
        <rFont val="Arial"/>
        <family val="2"/>
      </rPr>
      <t xml:space="preserve"> (or </t>
    </r>
    <r>
      <rPr>
        <i/>
        <sz val="10"/>
        <rFont val="Arial"/>
        <family val="2"/>
      </rPr>
      <t>E</t>
    </r>
    <r>
      <rPr>
        <i/>
        <vertAlign val="subscript"/>
        <sz val="10"/>
        <rFont val="Arial"/>
        <family val="2"/>
      </rPr>
      <t>S,Z</t>
    </r>
    <r>
      <rPr>
        <sz val="10"/>
        <rFont val="Arial"/>
        <family val="2"/>
      </rPr>
      <t>) is obtained</t>
    </r>
  </si>
  <si>
    <r>
      <t>cross-sectional area of post</t>
    </r>
    <r>
      <rPr>
        <i/>
        <sz val="10"/>
        <rFont val="Arial"/>
        <family val="2"/>
      </rPr>
      <t>/</t>
    </r>
    <r>
      <rPr>
        <sz val="10"/>
        <rFont val="Arial"/>
        <family val="2"/>
      </rPr>
      <t>pier, m</t>
    </r>
    <r>
      <rPr>
        <vertAlign val="superscript"/>
        <sz val="10"/>
        <rFont val="Arial"/>
        <family val="2"/>
      </rPr>
      <t>2</t>
    </r>
    <r>
      <rPr>
        <sz val="10"/>
        <rFont val="Arial"/>
        <family val="2"/>
      </rPr>
      <t xml:space="preserve"> (in</t>
    </r>
    <r>
      <rPr>
        <vertAlign val="superscript"/>
        <sz val="10"/>
        <rFont val="Arial"/>
        <family val="2"/>
      </rPr>
      <t>2</t>
    </r>
    <r>
      <rPr>
        <sz val="10"/>
        <rFont val="Arial"/>
        <family val="2"/>
      </rPr>
      <t xml:space="preserve">). For helical piers, </t>
    </r>
    <r>
      <rPr>
        <i/>
        <sz val="10"/>
        <rFont val="Arial"/>
        <family val="2"/>
      </rPr>
      <t>A</t>
    </r>
    <r>
      <rPr>
        <i/>
        <vertAlign val="subscript"/>
        <sz val="10"/>
        <rFont val="Arial"/>
        <family val="2"/>
      </rPr>
      <t>P</t>
    </r>
    <r>
      <rPr>
        <sz val="10"/>
        <rFont val="Arial"/>
        <family val="2"/>
      </rPr>
      <t xml:space="preserve"> is the cross-sectional area of the shaft (it does not include the area of the attached helix)</t>
    </r>
  </si>
  <si>
    <r>
      <t>width of the face of the post</t>
    </r>
    <r>
      <rPr>
        <i/>
        <sz val="10"/>
        <rFont val="Arial"/>
        <family val="2"/>
      </rPr>
      <t>/</t>
    </r>
    <r>
      <rPr>
        <sz val="10"/>
        <rFont val="Arial"/>
        <family val="2"/>
      </rPr>
      <t>pier, footing, or collar that applies load to the soil when the foundation moves laterally, m (in)</t>
    </r>
  </si>
  <si>
    <r>
      <t>b</t>
    </r>
    <r>
      <rPr>
        <i/>
        <vertAlign val="subscript"/>
        <sz val="10"/>
        <rFont val="Arial"/>
        <family val="2"/>
      </rPr>
      <t>G</t>
    </r>
  </si>
  <si>
    <t>post/pier face width at the ground surface, m (in)</t>
  </si>
  <si>
    <t>diameter of a round footing or side length of a square footing, m (in)</t>
  </si>
  <si>
    <r>
      <t>B</t>
    </r>
    <r>
      <rPr>
        <i/>
        <vertAlign val="subscript"/>
        <sz val="10"/>
        <rFont val="Arial"/>
        <family val="2"/>
      </rPr>
      <t>U</t>
    </r>
  </si>
  <si>
    <t>diameter of a circular uplift resisting system or the smaller of the two dimensions characterizing a rectangular uplift resisting system, m (in)</t>
  </si>
  <si>
    <r>
      <t>cohesion of soil, kPa (lbf</t>
    </r>
    <r>
      <rPr>
        <i/>
        <sz val="10"/>
        <rFont val="Arial"/>
        <family val="2"/>
      </rPr>
      <t>/</t>
    </r>
    <r>
      <rPr>
        <sz val="10"/>
        <rFont val="Arial"/>
        <family val="2"/>
      </rPr>
      <t xml:space="preserve"> in</t>
    </r>
    <r>
      <rPr>
        <vertAlign val="superscript"/>
        <sz val="10"/>
        <rFont val="Arial"/>
        <family val="2"/>
      </rPr>
      <t>2</t>
    </r>
    <r>
      <rPr>
        <sz val="10"/>
        <rFont val="Arial"/>
        <family val="2"/>
      </rPr>
      <t>)</t>
    </r>
  </si>
  <si>
    <r>
      <t>C</t>
    </r>
    <r>
      <rPr>
        <i/>
        <vertAlign val="subscript"/>
        <sz val="10"/>
        <rFont val="Arial"/>
        <family val="2"/>
      </rPr>
      <t>CPT</t>
    </r>
  </si>
  <si>
    <r>
      <t>constant relating CPT blow counts to bearing resistance, kPa (lbf</t>
    </r>
    <r>
      <rPr>
        <i/>
        <sz val="10"/>
        <rFont val="Arial"/>
        <family val="2"/>
      </rPr>
      <t>/</t>
    </r>
    <r>
      <rPr>
        <sz val="10"/>
        <rFont val="Arial"/>
        <family val="2"/>
      </rPr>
      <t xml:space="preserve"> in</t>
    </r>
    <r>
      <rPr>
        <vertAlign val="superscript"/>
        <sz val="10"/>
        <rFont val="Arial"/>
        <family val="2"/>
      </rPr>
      <t>2</t>
    </r>
    <r>
      <rPr>
        <sz val="10"/>
        <rFont val="Arial"/>
        <family val="2"/>
      </rPr>
      <t>)</t>
    </r>
  </si>
  <si>
    <t>empirical bearing capacity coefficient for adjustment of pressuremeter readings, dimensionless</t>
  </si>
  <si>
    <r>
      <t>B</t>
    </r>
    <r>
      <rPr>
        <i/>
        <vertAlign val="subscript"/>
        <sz val="10"/>
        <color indexed="8"/>
        <rFont val="Arial"/>
        <family val="2"/>
      </rPr>
      <t>U</t>
    </r>
  </si>
  <si>
    <r>
      <t>L</t>
    </r>
    <r>
      <rPr>
        <i/>
        <vertAlign val="subscript"/>
        <sz val="10"/>
        <color indexed="8"/>
        <rFont val="Arial"/>
        <family val="2"/>
      </rPr>
      <t>U</t>
    </r>
  </si>
  <si>
    <r>
      <t xml:space="preserve">Length of rectangular uplift resisting system with width </t>
    </r>
    <r>
      <rPr>
        <i/>
        <sz val="10"/>
        <color indexed="8"/>
        <rFont val="Arial"/>
        <family val="2"/>
      </rPr>
      <t>B</t>
    </r>
    <r>
      <rPr>
        <i/>
        <vertAlign val="subscript"/>
        <sz val="10"/>
        <color indexed="8"/>
        <rFont val="Arial"/>
        <family val="2"/>
      </rPr>
      <t>U</t>
    </r>
  </si>
  <si>
    <r>
      <t xml:space="preserve">Foundation depth, </t>
    </r>
    <r>
      <rPr>
        <i/>
        <sz val="10"/>
        <rFont val="Arial"/>
        <family val="2"/>
      </rPr>
      <t>d</t>
    </r>
    <r>
      <rPr>
        <i/>
        <vertAlign val="subscript"/>
        <sz val="10"/>
        <rFont val="Arial"/>
        <family val="2"/>
      </rPr>
      <t>F</t>
    </r>
  </si>
  <si>
    <r>
      <t>constant relating SPT blow counts to bearing resistance, kPa (lbf</t>
    </r>
    <r>
      <rPr>
        <i/>
        <sz val="10"/>
        <rFont val="Arial"/>
        <family val="2"/>
      </rPr>
      <t>/</t>
    </r>
    <r>
      <rPr>
        <sz val="10"/>
        <rFont val="Arial"/>
        <family val="2"/>
      </rPr>
      <t>in</t>
    </r>
    <r>
      <rPr>
        <vertAlign val="superscript"/>
        <sz val="10"/>
        <rFont val="Arial"/>
        <family val="2"/>
      </rPr>
      <t>2</t>
    </r>
    <r>
      <rPr>
        <sz val="10"/>
        <rFont val="Arial"/>
        <family val="2"/>
      </rPr>
      <t>)</t>
    </r>
  </si>
  <si>
    <t>correction factor for effect of ground water location on the ultimate bearing strength of cohesionless soils, dimensionless</t>
  </si>
  <si>
    <t>post/pier embedment depth, m (in)</t>
  </si>
  <si>
    <t>depth factor for ultimate bearing strength of a cohesive soil based on the general bearing capacity equation, dimensionless</t>
  </si>
  <si>
    <t>depth factor for ultimate bearing strength of a cohesionless soil based on the general bearing capacity equation, dimensionless</t>
  </si>
  <si>
    <r>
      <t>d</t>
    </r>
    <r>
      <rPr>
        <i/>
        <vertAlign val="subscript"/>
        <sz val="10"/>
        <rFont val="Arial"/>
        <family val="2"/>
      </rPr>
      <t>R</t>
    </r>
  </si>
  <si>
    <t>depth from ground surface to point of post/pier rotation, m (in)</t>
  </si>
  <si>
    <t>depth from ground surface to point of post/pier rotation at ultimate load, m (in)</t>
  </si>
  <si>
    <t>foundation or footing depth, m (ft)</t>
  </si>
  <si>
    <t>distance between soil surface and top of the foundation uplift resisting system, m (in)</t>
  </si>
  <si>
    <t>distance between soil surface and top of the water table, m (in)</t>
  </si>
  <si>
    <r>
      <t>E</t>
    </r>
    <r>
      <rPr>
        <i/>
        <vertAlign val="subscript"/>
        <sz val="10"/>
        <rFont val="Arial"/>
        <family val="2"/>
      </rPr>
      <t>P</t>
    </r>
  </si>
  <si>
    <r>
      <t>Young’s modulus for the post</t>
    </r>
    <r>
      <rPr>
        <i/>
        <sz val="10"/>
        <rFont val="Arial"/>
        <family val="2"/>
      </rPr>
      <t>/</t>
    </r>
    <r>
      <rPr>
        <sz val="10"/>
        <rFont val="Arial"/>
        <family val="2"/>
      </rPr>
      <t>pier material, kPa (lbf</t>
    </r>
    <r>
      <rPr>
        <i/>
        <sz val="10"/>
        <rFont val="Arial"/>
        <family val="2"/>
      </rPr>
      <t>/</t>
    </r>
    <r>
      <rPr>
        <sz val="10"/>
        <rFont val="Arial"/>
        <family val="2"/>
      </rPr>
      <t>in</t>
    </r>
    <r>
      <rPr>
        <vertAlign val="superscript"/>
        <sz val="10"/>
        <rFont val="Arial"/>
        <family val="2"/>
      </rPr>
      <t>2</t>
    </r>
    <r>
      <rPr>
        <sz val="10"/>
        <rFont val="Arial"/>
        <family val="2"/>
      </rPr>
      <t>)</t>
    </r>
  </si>
  <si>
    <r>
      <t>E</t>
    </r>
    <r>
      <rPr>
        <i/>
        <vertAlign val="subscript"/>
        <sz val="10"/>
        <rFont val="Arial"/>
        <family val="2"/>
      </rPr>
      <t>S</t>
    </r>
  </si>
  <si>
    <r>
      <t xml:space="preserve">Young’s modulus for soil which may or may not vary with depth </t>
    </r>
    <r>
      <rPr>
        <i/>
        <sz val="10"/>
        <rFont val="Arial"/>
        <family val="2"/>
      </rPr>
      <t>z</t>
    </r>
    <r>
      <rPr>
        <sz val="10"/>
        <rFont val="Arial"/>
        <family val="2"/>
      </rPr>
      <t>, kPa (lbf</t>
    </r>
    <r>
      <rPr>
        <i/>
        <sz val="10"/>
        <rFont val="Arial"/>
        <family val="2"/>
      </rPr>
      <t>/</t>
    </r>
    <r>
      <rPr>
        <sz val="10"/>
        <rFont val="Arial"/>
        <family val="2"/>
      </rPr>
      <t>in</t>
    </r>
    <r>
      <rPr>
        <vertAlign val="superscript"/>
        <sz val="10"/>
        <rFont val="Arial"/>
        <family val="2"/>
      </rPr>
      <t>2</t>
    </r>
    <r>
      <rPr>
        <sz val="10"/>
        <rFont val="Arial"/>
        <family val="2"/>
      </rPr>
      <t>)</t>
    </r>
  </si>
  <si>
    <r>
      <t>E</t>
    </r>
    <r>
      <rPr>
        <i/>
        <vertAlign val="subscript"/>
        <sz val="10"/>
        <rFont val="Arial"/>
        <family val="2"/>
      </rPr>
      <t>S,B</t>
    </r>
  </si>
  <si>
    <r>
      <t xml:space="preserve">Young’s modulus for backfill soil which may or may not vary with depth </t>
    </r>
    <r>
      <rPr>
        <i/>
        <sz val="10"/>
        <rFont val="Arial"/>
        <family val="2"/>
      </rPr>
      <t>z</t>
    </r>
    <r>
      <rPr>
        <sz val="10"/>
        <rFont val="Arial"/>
        <family val="2"/>
      </rPr>
      <t>, kPa (lbf</t>
    </r>
    <r>
      <rPr>
        <i/>
        <sz val="10"/>
        <rFont val="Arial"/>
        <family val="2"/>
      </rPr>
      <t>/</t>
    </r>
    <r>
      <rPr>
        <sz val="10"/>
        <rFont val="Arial"/>
        <family val="2"/>
      </rPr>
      <t>in</t>
    </r>
    <r>
      <rPr>
        <vertAlign val="superscript"/>
        <sz val="10"/>
        <rFont val="Arial"/>
        <family val="2"/>
      </rPr>
      <t>2</t>
    </r>
    <r>
      <rPr>
        <sz val="10"/>
        <rFont val="Arial"/>
        <family val="2"/>
      </rPr>
      <t>)</t>
    </r>
  </si>
  <si>
    <r>
      <t>E</t>
    </r>
    <r>
      <rPr>
        <i/>
        <vertAlign val="subscript"/>
        <sz val="10"/>
        <rFont val="Arial"/>
        <family val="2"/>
      </rPr>
      <t>S,U</t>
    </r>
  </si>
  <si>
    <r>
      <t xml:space="preserve">Young’s modulus for unexcavated soil which may or may not vary with depth </t>
    </r>
    <r>
      <rPr>
        <i/>
        <sz val="10"/>
        <rFont val="Arial"/>
        <family val="2"/>
      </rPr>
      <t>z</t>
    </r>
    <r>
      <rPr>
        <sz val="10"/>
        <rFont val="Arial"/>
        <family val="2"/>
      </rPr>
      <t>, kPa (lbf</t>
    </r>
    <r>
      <rPr>
        <i/>
        <sz val="10"/>
        <rFont val="Arial"/>
        <family val="2"/>
      </rPr>
      <t>/</t>
    </r>
    <r>
      <rPr>
        <sz val="10"/>
        <rFont val="Arial"/>
        <family val="2"/>
      </rPr>
      <t>in</t>
    </r>
    <r>
      <rPr>
        <vertAlign val="superscript"/>
        <sz val="10"/>
        <rFont val="Arial"/>
        <family val="2"/>
      </rPr>
      <t>2</t>
    </r>
    <r>
      <rPr>
        <sz val="10"/>
        <rFont val="Arial"/>
        <family val="2"/>
      </rPr>
      <t>)</t>
    </r>
  </si>
  <si>
    <r>
      <t>E</t>
    </r>
    <r>
      <rPr>
        <i/>
        <vertAlign val="subscript"/>
        <sz val="10"/>
        <rFont val="Arial"/>
        <family val="2"/>
      </rPr>
      <t>S,Z</t>
    </r>
  </si>
  <si>
    <r>
      <t xml:space="preserve">Young’s modulus for unexcavated soil that is assumed equal to zero at grade and increases linearly with increasing depth </t>
    </r>
    <r>
      <rPr>
        <i/>
        <sz val="10"/>
        <rFont val="Arial"/>
        <family val="2"/>
      </rPr>
      <t>z</t>
    </r>
    <r>
      <rPr>
        <sz val="10"/>
        <rFont val="Arial"/>
        <family val="2"/>
      </rPr>
      <t xml:space="preserve"> below grade, kPa (lbf</t>
    </r>
    <r>
      <rPr>
        <i/>
        <sz val="10"/>
        <rFont val="Arial"/>
        <family val="2"/>
      </rPr>
      <t>/</t>
    </r>
    <r>
      <rPr>
        <sz val="10"/>
        <rFont val="Arial"/>
        <family val="2"/>
      </rPr>
      <t>in</t>
    </r>
    <r>
      <rPr>
        <vertAlign val="superscript"/>
        <sz val="10"/>
        <rFont val="Arial"/>
        <family val="2"/>
      </rPr>
      <t>2</t>
    </r>
    <r>
      <rPr>
        <sz val="10"/>
        <rFont val="Arial"/>
        <family val="2"/>
      </rPr>
      <t>)</t>
    </r>
  </si>
  <si>
    <t>ASD factor of safety for bearing strength assessment, dimensionless</t>
  </si>
  <si>
    <t>ASD factor of safety for lateral strength assessment, dimensionless</t>
  </si>
  <si>
    <t>ASD factor of safety for uplift strength assessment, dimensionless</t>
  </si>
  <si>
    <t>breakout factor for soil uplift, dimensionless</t>
  </si>
  <si>
    <r>
      <t>F</t>
    </r>
    <r>
      <rPr>
        <i/>
        <vertAlign val="subscript"/>
        <sz val="10"/>
        <rFont val="Arial"/>
        <family val="2"/>
      </rPr>
      <t>S</t>
    </r>
  </si>
  <si>
    <t>force in a horizontal spring used to model lateral soil resistance, kN (lbf)</t>
  </si>
  <si>
    <r>
      <t>F</t>
    </r>
    <r>
      <rPr>
        <i/>
        <vertAlign val="subscript"/>
        <sz val="10"/>
        <rFont val="Arial"/>
        <family val="2"/>
      </rPr>
      <t>ASD</t>
    </r>
  </si>
  <si>
    <r>
      <t>F</t>
    </r>
    <r>
      <rPr>
        <i/>
        <vertAlign val="subscript"/>
        <sz val="10"/>
        <rFont val="Arial"/>
        <family val="2"/>
      </rPr>
      <t>S</t>
    </r>
    <r>
      <rPr>
        <sz val="10"/>
        <rFont val="Arial"/>
        <family val="2"/>
      </rPr>
      <t xml:space="preserve"> induced by an ASD load combination, kN (lbf)</t>
    </r>
  </si>
  <si>
    <r>
      <t>F</t>
    </r>
    <r>
      <rPr>
        <i/>
        <vertAlign val="subscript"/>
        <sz val="10"/>
        <rFont val="Arial"/>
        <family val="2"/>
      </rPr>
      <t>LRFD</t>
    </r>
  </si>
  <si>
    <r>
      <t>F</t>
    </r>
    <r>
      <rPr>
        <i/>
        <vertAlign val="subscript"/>
        <sz val="10"/>
        <rFont val="Arial"/>
        <family val="2"/>
      </rPr>
      <t>S</t>
    </r>
    <r>
      <rPr>
        <sz val="10"/>
        <rFont val="Arial"/>
        <family val="2"/>
      </rPr>
      <t xml:space="preserve"> induced by an LRFD load combination, kN (lbf)</t>
    </r>
  </si>
  <si>
    <r>
      <t>F</t>
    </r>
    <r>
      <rPr>
        <i/>
        <vertAlign val="subscript"/>
        <sz val="10"/>
        <rFont val="Arial"/>
        <family val="2"/>
      </rPr>
      <t>ult</t>
    </r>
  </si>
  <si>
    <t>soil spring ultimate strength, kN (lbf)</t>
  </si>
  <si>
    <r>
      <t>gravitation acceleration constant, 9.81x10</t>
    </r>
    <r>
      <rPr>
        <vertAlign val="superscript"/>
        <sz val="10"/>
        <rFont val="Arial"/>
        <family val="2"/>
      </rPr>
      <t>-3</t>
    </r>
    <r>
      <rPr>
        <sz val="10"/>
        <rFont val="Arial"/>
        <family val="2"/>
      </rPr>
      <t xml:space="preserve"> kN</t>
    </r>
    <r>
      <rPr>
        <i/>
        <sz val="10"/>
        <rFont val="Arial"/>
        <family val="2"/>
      </rPr>
      <t>/</t>
    </r>
    <r>
      <rPr>
        <sz val="10"/>
        <rFont val="Arial"/>
        <family val="2"/>
      </rPr>
      <t>kg (1.0 lbf</t>
    </r>
    <r>
      <rPr>
        <i/>
        <sz val="10"/>
        <rFont val="Arial"/>
        <family val="2"/>
      </rPr>
      <t>/</t>
    </r>
    <r>
      <rPr>
        <sz val="10"/>
        <rFont val="Arial"/>
        <family val="2"/>
      </rPr>
      <t>lbm)</t>
    </r>
  </si>
  <si>
    <t>vertical extent of the uplift soil failure surface, m (in)</t>
  </si>
  <si>
    <r>
      <t>I</t>
    </r>
    <r>
      <rPr>
        <i/>
        <vertAlign val="subscript"/>
        <sz val="10"/>
        <rFont val="Arial"/>
        <family val="2"/>
      </rPr>
      <t>P</t>
    </r>
  </si>
  <si>
    <r>
      <t>moment of inertia of post/pier around axis of rotation, m</t>
    </r>
    <r>
      <rPr>
        <vertAlign val="superscript"/>
        <sz val="10"/>
        <rFont val="Arial"/>
        <family val="2"/>
      </rPr>
      <t>4</t>
    </r>
    <r>
      <rPr>
        <sz val="10"/>
        <rFont val="Arial"/>
        <family val="2"/>
      </rPr>
      <t xml:space="preserve"> (in</t>
    </r>
    <r>
      <rPr>
        <vertAlign val="superscript"/>
        <sz val="10"/>
        <rFont val="Arial"/>
        <family val="2"/>
      </rPr>
      <t>4</t>
    </r>
    <r>
      <rPr>
        <sz val="10"/>
        <rFont val="Arial"/>
        <family val="2"/>
      </rPr>
      <t xml:space="preserve">). Equal to </t>
    </r>
    <r>
      <rPr>
        <i/>
        <sz val="10"/>
        <rFont val="Arial"/>
        <family val="2"/>
      </rPr>
      <t>w</t>
    </r>
    <r>
      <rPr>
        <i/>
        <vertAlign val="superscript"/>
        <sz val="10"/>
        <rFont val="Arial"/>
        <family val="2"/>
      </rPr>
      <t xml:space="preserve"> </t>
    </r>
    <r>
      <rPr>
        <vertAlign val="superscript"/>
        <sz val="10"/>
        <rFont val="Arial"/>
        <family val="2"/>
      </rPr>
      <t>3</t>
    </r>
    <r>
      <rPr>
        <i/>
        <sz val="10"/>
        <rFont val="Arial"/>
        <family val="2"/>
      </rPr>
      <t>b/</t>
    </r>
    <r>
      <rPr>
        <sz val="10"/>
        <rFont val="Arial"/>
        <family val="2"/>
      </rPr>
      <t>12 for a solid rectangular post</t>
    </r>
    <r>
      <rPr>
        <i/>
        <sz val="10"/>
        <rFont val="Arial"/>
        <family val="2"/>
      </rPr>
      <t>/</t>
    </r>
    <r>
      <rPr>
        <sz val="10"/>
        <rFont val="Arial"/>
        <family val="2"/>
      </rPr>
      <t>pier</t>
    </r>
  </si>
  <si>
    <r>
      <t>I</t>
    </r>
    <r>
      <rPr>
        <i/>
        <vertAlign val="subscript"/>
        <sz val="10"/>
        <rFont val="Arial"/>
        <family val="2"/>
      </rPr>
      <t>S</t>
    </r>
  </si>
  <si>
    <t>strain influence factor, dimensionless</t>
  </si>
  <si>
    <t>k</t>
  </si>
  <si>
    <r>
      <t xml:space="preserve">modulus of horizontal subgrade reaction which may or may not vary with depth </t>
    </r>
    <r>
      <rPr>
        <i/>
        <sz val="10"/>
        <rFont val="Arial"/>
        <family val="2"/>
      </rPr>
      <t>z</t>
    </r>
    <r>
      <rPr>
        <sz val="10"/>
        <rFont val="Arial"/>
        <family val="2"/>
      </rPr>
      <t>,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in</t>
    </r>
    <r>
      <rPr>
        <vertAlign val="superscript"/>
        <sz val="10"/>
        <rFont val="Arial"/>
        <family val="2"/>
      </rPr>
      <t>3</t>
    </r>
    <r>
      <rPr>
        <sz val="10"/>
        <rFont val="Arial"/>
        <family val="2"/>
      </rPr>
      <t>)</t>
    </r>
  </si>
  <si>
    <r>
      <t>k</t>
    </r>
    <r>
      <rPr>
        <i/>
        <vertAlign val="subscript"/>
        <sz val="10"/>
        <rFont val="Arial"/>
        <family val="2"/>
      </rPr>
      <t>c</t>
    </r>
  </si>
  <si>
    <r>
      <t xml:space="preserve">modulus of horizontal subgrade reaction that is constant with depth </t>
    </r>
    <r>
      <rPr>
        <i/>
        <sz val="10"/>
        <rFont val="Arial"/>
        <family val="2"/>
      </rPr>
      <t>z</t>
    </r>
    <r>
      <rPr>
        <sz val="10"/>
        <rFont val="Arial"/>
        <family val="2"/>
      </rPr>
      <t>,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in</t>
    </r>
    <r>
      <rPr>
        <vertAlign val="superscript"/>
        <sz val="10"/>
        <rFont val="Arial"/>
        <family val="2"/>
      </rPr>
      <t>3</t>
    </r>
    <r>
      <rPr>
        <sz val="10"/>
        <rFont val="Arial"/>
        <family val="2"/>
      </rPr>
      <t>)</t>
    </r>
  </si>
  <si>
    <r>
      <t>k</t>
    </r>
    <r>
      <rPr>
        <i/>
        <vertAlign val="subscript"/>
        <sz val="10"/>
        <rFont val="Arial"/>
        <family val="2"/>
      </rPr>
      <t>B</t>
    </r>
  </si>
  <si>
    <r>
      <t xml:space="preserve">modulus of horizontal subgrade for backfill soil which may or may not vary with depth </t>
    </r>
    <r>
      <rPr>
        <i/>
        <sz val="10"/>
        <rFont val="Arial"/>
        <family val="2"/>
      </rPr>
      <t>z</t>
    </r>
    <r>
      <rPr>
        <sz val="10"/>
        <rFont val="Arial"/>
        <family val="2"/>
      </rPr>
      <t>,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in</t>
    </r>
    <r>
      <rPr>
        <vertAlign val="superscript"/>
        <sz val="10"/>
        <rFont val="Arial"/>
        <family val="2"/>
      </rPr>
      <t>3</t>
    </r>
    <r>
      <rPr>
        <sz val="10"/>
        <rFont val="Arial"/>
        <family val="2"/>
      </rPr>
      <t>)</t>
    </r>
  </si>
  <si>
    <r>
      <t>k</t>
    </r>
    <r>
      <rPr>
        <i/>
        <vertAlign val="subscript"/>
        <sz val="10"/>
        <rFont val="Arial"/>
        <family val="2"/>
      </rPr>
      <t>U</t>
    </r>
  </si>
  <si>
    <r>
      <t xml:space="preserve">modulus of horizontal subgrade reaction for unexcavated soil which may or may not vary with depth </t>
    </r>
    <r>
      <rPr>
        <i/>
        <sz val="10"/>
        <rFont val="Arial"/>
        <family val="2"/>
      </rPr>
      <t>z</t>
    </r>
    <r>
      <rPr>
        <sz val="10"/>
        <rFont val="Arial"/>
        <family val="2"/>
      </rPr>
      <t>,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in</t>
    </r>
    <r>
      <rPr>
        <vertAlign val="superscript"/>
        <sz val="10"/>
        <rFont val="Arial"/>
        <family val="2"/>
      </rPr>
      <t>3</t>
    </r>
    <r>
      <rPr>
        <sz val="10"/>
        <rFont val="Arial"/>
        <family val="2"/>
      </rPr>
      <t>)</t>
    </r>
  </si>
  <si>
    <r>
      <t>k</t>
    </r>
    <r>
      <rPr>
        <i/>
        <vertAlign val="subscript"/>
        <sz val="10"/>
        <rFont val="Arial"/>
        <family val="2"/>
      </rPr>
      <t>V</t>
    </r>
  </si>
  <si>
    <r>
      <t>modulus of vertical subgrade reaction,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in</t>
    </r>
    <r>
      <rPr>
        <vertAlign val="superscript"/>
        <sz val="10"/>
        <rFont val="Arial"/>
        <family val="2"/>
      </rPr>
      <t>3</t>
    </r>
    <r>
      <rPr>
        <sz val="10"/>
        <rFont val="Arial"/>
        <family val="2"/>
      </rPr>
      <t>)</t>
    </r>
  </si>
  <si>
    <r>
      <t>K</t>
    </r>
    <r>
      <rPr>
        <i/>
        <vertAlign val="subscript"/>
        <sz val="10"/>
        <rFont val="Arial"/>
        <family val="2"/>
      </rPr>
      <t>H</t>
    </r>
  </si>
  <si>
    <r>
      <t xml:space="preserve">stiffness of a horizontal spring used to model the resistance to lateral post/pier movement provided by a soil layer with thickness </t>
    </r>
    <r>
      <rPr>
        <i/>
        <sz val="10"/>
        <rFont val="Arial"/>
        <family val="2"/>
      </rPr>
      <t xml:space="preserve">t </t>
    </r>
    <r>
      <rPr>
        <sz val="10"/>
        <rFont val="Arial"/>
        <family val="2"/>
      </rPr>
      <t>in contact with a foundation element of width</t>
    </r>
    <r>
      <rPr>
        <i/>
        <sz val="10"/>
        <rFont val="Arial"/>
        <family val="2"/>
      </rPr>
      <t xml:space="preserve"> b</t>
    </r>
    <r>
      <rPr>
        <sz val="10"/>
        <rFont val="Arial"/>
        <family val="2"/>
      </rPr>
      <t>, kN</t>
    </r>
    <r>
      <rPr>
        <i/>
        <sz val="10"/>
        <rFont val="Arial"/>
        <family val="2"/>
      </rPr>
      <t>/</t>
    </r>
    <r>
      <rPr>
        <sz val="10"/>
        <rFont val="Arial"/>
        <family val="2"/>
      </rPr>
      <t>m (lbf</t>
    </r>
    <r>
      <rPr>
        <i/>
        <sz val="10"/>
        <rFont val="Arial"/>
        <family val="2"/>
      </rPr>
      <t>/</t>
    </r>
    <r>
      <rPr>
        <sz val="10"/>
        <rFont val="Arial"/>
        <family val="2"/>
      </rPr>
      <t>in)</t>
    </r>
  </si>
  <si>
    <t>coefficient of passive earth pressure, dimensionless</t>
  </si>
  <si>
    <t>nominal uplift coefficient of earth pressure on a vertical plane, dimensionless</t>
  </si>
  <si>
    <r>
      <t>L</t>
    </r>
    <r>
      <rPr>
        <i/>
        <vertAlign val="subscript"/>
        <sz val="10"/>
        <rFont val="Arial"/>
        <family val="2"/>
      </rPr>
      <t>U</t>
    </r>
  </si>
  <si>
    <r>
      <t xml:space="preserve">length of a rectangular uplift resisting system with a width </t>
    </r>
    <r>
      <rPr>
        <i/>
        <sz val="10"/>
        <rFont val="Arial"/>
        <family val="2"/>
      </rPr>
      <t>B</t>
    </r>
    <r>
      <rPr>
        <i/>
        <vertAlign val="subscript"/>
        <sz val="10"/>
        <rFont val="Arial"/>
        <family val="2"/>
      </rPr>
      <t>U</t>
    </r>
    <r>
      <rPr>
        <sz val="10"/>
        <rFont val="Arial"/>
        <family val="2"/>
      </rPr>
      <t>, m (in)</t>
    </r>
  </si>
  <si>
    <t>M</t>
  </si>
  <si>
    <r>
      <t>bending moment in post</t>
    </r>
    <r>
      <rPr>
        <i/>
        <sz val="10"/>
        <rFont val="Arial"/>
        <family val="2"/>
      </rPr>
      <t>/</t>
    </r>
    <r>
      <rPr>
        <sz val="10"/>
        <rFont val="Arial"/>
        <family val="2"/>
      </rPr>
      <t>pier, kN-m (lbf- in)</t>
    </r>
  </si>
  <si>
    <t>foundation mass, kg (lbm)</t>
  </si>
  <si>
    <r>
      <t>M</t>
    </r>
    <r>
      <rPr>
        <i/>
        <vertAlign val="subscript"/>
        <sz val="10"/>
        <rFont val="Arial"/>
        <family val="2"/>
      </rPr>
      <t>G</t>
    </r>
  </si>
  <si>
    <r>
      <t>bending moment in post</t>
    </r>
    <r>
      <rPr>
        <i/>
        <sz val="10"/>
        <rFont val="Arial"/>
        <family val="2"/>
      </rPr>
      <t>/</t>
    </r>
    <r>
      <rPr>
        <sz val="10"/>
        <rFont val="Arial"/>
        <family val="2"/>
      </rPr>
      <t>pier at the ground surface (at grade), kN-m (lbf- in)</t>
    </r>
  </si>
  <si>
    <r>
      <t>M</t>
    </r>
    <r>
      <rPr>
        <i/>
        <vertAlign val="subscript"/>
        <sz val="10"/>
        <rFont val="Arial"/>
        <family val="2"/>
      </rPr>
      <t>G</t>
    </r>
    <r>
      <rPr>
        <sz val="10"/>
        <rFont val="Arial"/>
        <family val="2"/>
      </rPr>
      <t xml:space="preserve"> due to a ASD load combination, kN-m (lbf-in)</t>
    </r>
  </si>
  <si>
    <r>
      <t>M</t>
    </r>
    <r>
      <rPr>
        <i/>
        <vertAlign val="subscript"/>
        <sz val="10"/>
        <rFont val="Arial"/>
        <family val="2"/>
      </rPr>
      <t>G</t>
    </r>
    <r>
      <rPr>
        <sz val="10"/>
        <rFont val="Arial"/>
        <family val="2"/>
      </rPr>
      <t xml:space="preserve"> due to a LRFD load combination, kN-m (lbf-in)</t>
    </r>
  </si>
  <si>
    <t>ultimate groundline bending moment capacity of the foundation as limited by soil strength, kN-m (lbf-in)</t>
  </si>
  <si>
    <r>
      <t>n</t>
    </r>
    <r>
      <rPr>
        <i/>
        <vertAlign val="subscript"/>
        <sz val="10"/>
        <rFont val="Arial"/>
        <family val="2"/>
      </rPr>
      <t>h</t>
    </r>
  </si>
  <si>
    <r>
      <t>constant of horizontal subgrade reaction, kN</t>
    </r>
    <r>
      <rPr>
        <i/>
        <sz val="10"/>
        <rFont val="Arial"/>
        <family val="2"/>
      </rPr>
      <t>/</t>
    </r>
    <r>
      <rPr>
        <sz val="10"/>
        <rFont val="Arial"/>
        <family val="2"/>
      </rPr>
      <t>m</t>
    </r>
    <r>
      <rPr>
        <vertAlign val="superscript"/>
        <sz val="10"/>
        <rFont val="Arial"/>
        <family val="2"/>
      </rPr>
      <t>3</t>
    </r>
    <r>
      <rPr>
        <sz val="10"/>
        <rFont val="Arial"/>
        <family val="2"/>
      </rPr>
      <t xml:space="preserve"> (lb</t>
    </r>
    <r>
      <rPr>
        <i/>
        <sz val="10"/>
        <rFont val="Arial"/>
        <family val="2"/>
      </rPr>
      <t>f/</t>
    </r>
    <r>
      <rPr>
        <sz val="10"/>
        <rFont val="Arial"/>
        <family val="2"/>
      </rPr>
      <t>in</t>
    </r>
    <r>
      <rPr>
        <vertAlign val="superscript"/>
        <sz val="10"/>
        <rFont val="Arial"/>
        <family val="2"/>
      </rPr>
      <t>3</t>
    </r>
    <r>
      <rPr>
        <sz val="10"/>
        <rFont val="Arial"/>
        <family val="2"/>
      </rPr>
      <t>)</t>
    </r>
  </si>
  <si>
    <t>bearing capacity factor that accounts for cohesion in the general bearing capacity equation, dimensionless</t>
  </si>
  <si>
    <t>bearing capacity factor that accounts for soil unit weight in the general bearing capacity equation, dimensionless</t>
  </si>
  <si>
    <t>bearing capacity factor that accounts for surcharge pressures in the general bearing capacity equation, dimensionless</t>
  </si>
  <si>
    <t>SPT blow count as recorded during test, Blows per 300 mm (Blows per 12 in.)</t>
  </si>
  <si>
    <r>
      <t>N</t>
    </r>
    <r>
      <rPr>
        <i/>
        <vertAlign val="subscript"/>
        <sz val="10"/>
        <rFont val="Arial"/>
        <family val="2"/>
      </rPr>
      <t>SPT</t>
    </r>
    <r>
      <rPr>
        <sz val="10"/>
        <rFont val="Arial"/>
        <family val="2"/>
      </rPr>
      <t xml:space="preserve"> blow count corrected for field procedures and equipment, Blows per 300 mm (Blows per 12 in.)</t>
    </r>
  </si>
  <si>
    <r>
      <t>N</t>
    </r>
    <r>
      <rPr>
        <i/>
        <vertAlign val="subscript"/>
        <sz val="10"/>
        <rFont val="Arial"/>
        <family val="2"/>
      </rPr>
      <t>60</t>
    </r>
    <r>
      <rPr>
        <sz val="10"/>
        <rFont val="Arial"/>
        <family val="2"/>
      </rPr>
      <t xml:space="preserve"> blow count normalized with respect to vertical effective stress, Blows per 300 mm (Blows per 12 in.)</t>
    </r>
  </si>
  <si>
    <t>p</t>
  </si>
  <si>
    <r>
      <t>lateral soil resistance, kPa (lbf</t>
    </r>
    <r>
      <rPr>
        <i/>
        <sz val="10"/>
        <rFont val="Arial"/>
        <family val="2"/>
      </rPr>
      <t>/</t>
    </r>
    <r>
      <rPr>
        <sz val="10"/>
        <rFont val="Arial"/>
        <family val="2"/>
      </rPr>
      <t>in</t>
    </r>
    <r>
      <rPr>
        <vertAlign val="superscript"/>
        <sz val="10"/>
        <rFont val="Arial"/>
        <family val="2"/>
      </rPr>
      <t>2</t>
    </r>
    <r>
      <rPr>
        <sz val="10"/>
        <rFont val="Arial"/>
        <family val="2"/>
      </rPr>
      <t>)</t>
    </r>
  </si>
  <si>
    <r>
      <t>atmospheric pressure, 100 kPa (2090 lbf</t>
    </r>
    <r>
      <rPr>
        <i/>
        <sz val="10"/>
        <rFont val="Arial"/>
        <family val="2"/>
      </rPr>
      <t>/</t>
    </r>
    <r>
      <rPr>
        <sz val="10"/>
        <rFont val="Arial"/>
        <family val="2"/>
      </rPr>
      <t>in</t>
    </r>
    <r>
      <rPr>
        <vertAlign val="superscript"/>
        <sz val="10"/>
        <rFont val="Arial"/>
        <family val="2"/>
      </rPr>
      <t>2</t>
    </r>
    <r>
      <rPr>
        <sz val="10"/>
        <rFont val="Arial"/>
        <family val="2"/>
      </rPr>
      <t>)</t>
    </r>
  </si>
  <si>
    <r>
      <t>limit pressure from a prebored pressuremeter, kPa (lbf</t>
    </r>
    <r>
      <rPr>
        <i/>
        <sz val="10"/>
        <rFont val="Arial"/>
        <family val="2"/>
      </rPr>
      <t>/</t>
    </r>
    <r>
      <rPr>
        <sz val="10"/>
        <rFont val="Arial"/>
        <family val="2"/>
      </rPr>
      <t>in</t>
    </r>
    <r>
      <rPr>
        <vertAlign val="superscript"/>
        <sz val="10"/>
        <rFont val="Arial"/>
        <family val="2"/>
      </rPr>
      <t>2</t>
    </r>
    <r>
      <rPr>
        <sz val="10"/>
        <rFont val="Arial"/>
        <family val="2"/>
      </rPr>
      <t>)</t>
    </r>
  </si>
  <si>
    <r>
      <t>p</t>
    </r>
    <r>
      <rPr>
        <i/>
        <vertAlign val="subscript"/>
        <sz val="10"/>
        <rFont val="Arial"/>
        <family val="2"/>
      </rPr>
      <t>U</t>
    </r>
  </si>
  <si>
    <r>
      <t>ultimate lateral soil resistance, kPa (lbf</t>
    </r>
    <r>
      <rPr>
        <i/>
        <sz val="10"/>
        <rFont val="Arial"/>
        <family val="2"/>
      </rPr>
      <t>/</t>
    </r>
    <r>
      <rPr>
        <sz val="10"/>
        <rFont val="Arial"/>
        <family val="2"/>
      </rPr>
      <t>in</t>
    </r>
    <r>
      <rPr>
        <vertAlign val="superscript"/>
        <sz val="10"/>
        <rFont val="Arial"/>
        <family val="2"/>
      </rPr>
      <t>2</t>
    </r>
    <r>
      <rPr>
        <sz val="10"/>
        <rFont val="Arial"/>
        <family val="2"/>
      </rPr>
      <t>)</t>
    </r>
  </si>
  <si>
    <r>
      <t>p</t>
    </r>
    <r>
      <rPr>
        <i/>
        <vertAlign val="subscript"/>
        <sz val="10"/>
        <rFont val="Arial"/>
        <family val="2"/>
      </rPr>
      <t>U,z</t>
    </r>
  </si>
  <si>
    <r>
      <t xml:space="preserve">ultimate lateral soil resistance at depth </t>
    </r>
    <r>
      <rPr>
        <i/>
        <sz val="10"/>
        <rFont val="Arial"/>
        <family val="2"/>
      </rPr>
      <t>z</t>
    </r>
    <r>
      <rPr>
        <sz val="10"/>
        <rFont val="Arial"/>
        <family val="2"/>
      </rPr>
      <t>, kPa (lbf</t>
    </r>
    <r>
      <rPr>
        <i/>
        <sz val="10"/>
        <rFont val="Arial"/>
        <family val="2"/>
      </rPr>
      <t>/</t>
    </r>
    <r>
      <rPr>
        <sz val="10"/>
        <rFont val="Arial"/>
        <family val="2"/>
      </rPr>
      <t>in</t>
    </r>
    <r>
      <rPr>
        <vertAlign val="superscript"/>
        <sz val="10"/>
        <rFont val="Arial"/>
        <family val="2"/>
      </rPr>
      <t>2</t>
    </r>
    <r>
      <rPr>
        <sz val="10"/>
        <rFont val="Arial"/>
        <family val="2"/>
      </rPr>
      <t>)</t>
    </r>
  </si>
  <si>
    <r>
      <t>p</t>
    </r>
    <r>
      <rPr>
        <i/>
        <vertAlign val="subscript"/>
        <sz val="10"/>
        <rFont val="Arial"/>
        <family val="2"/>
      </rPr>
      <t>z</t>
    </r>
  </si>
  <si>
    <r>
      <t xml:space="preserve">lateral soil resistance at a depth </t>
    </r>
    <r>
      <rPr>
        <i/>
        <sz val="10"/>
        <rFont val="Arial"/>
        <family val="2"/>
      </rPr>
      <t>z</t>
    </r>
    <r>
      <rPr>
        <sz val="10"/>
        <rFont val="Arial"/>
        <family val="2"/>
      </rPr>
      <t>, kPa (lbf</t>
    </r>
    <r>
      <rPr>
        <i/>
        <sz val="10"/>
        <rFont val="Arial"/>
        <family val="2"/>
      </rPr>
      <t>/</t>
    </r>
    <r>
      <rPr>
        <sz val="10"/>
        <rFont val="Arial"/>
        <family val="2"/>
      </rPr>
      <t>in</t>
    </r>
    <r>
      <rPr>
        <vertAlign val="superscript"/>
        <sz val="10"/>
        <rFont val="Arial"/>
        <family val="2"/>
      </rPr>
      <t>2</t>
    </r>
    <r>
      <rPr>
        <sz val="10"/>
        <rFont val="Arial"/>
        <family val="2"/>
      </rPr>
      <t>)</t>
    </r>
  </si>
  <si>
    <t>P</t>
  </si>
  <si>
    <t>axial load in post/pier, kN (lbf)</t>
  </si>
  <si>
    <r>
      <t>P</t>
    </r>
    <r>
      <rPr>
        <sz val="10"/>
        <rFont val="Arial"/>
        <family val="2"/>
      </rPr>
      <t xml:space="preserve"> due to a load and resistance factor load combination, kN (lbf)</t>
    </r>
  </si>
  <si>
    <r>
      <t>P</t>
    </r>
    <r>
      <rPr>
        <sz val="10"/>
        <rFont val="Arial"/>
        <family val="2"/>
      </rPr>
      <t xml:space="preserve"> due to an allowable stress design load combination, kN (lbf)</t>
    </r>
  </si>
  <si>
    <r>
      <t>ultimate soil bearing capacity, kPa (lbf</t>
    </r>
    <r>
      <rPr>
        <i/>
        <sz val="10"/>
        <rFont val="Arial"/>
        <family val="2"/>
      </rPr>
      <t>/</t>
    </r>
    <r>
      <rPr>
        <sz val="10"/>
        <rFont val="Arial"/>
        <family val="2"/>
      </rPr>
      <t xml:space="preserve"> in</t>
    </r>
    <r>
      <rPr>
        <vertAlign val="superscript"/>
        <sz val="10"/>
        <rFont val="Arial"/>
        <family val="2"/>
      </rPr>
      <t>2</t>
    </r>
    <r>
      <rPr>
        <sz val="10"/>
        <rFont val="Arial"/>
        <family val="2"/>
      </rPr>
      <t>)</t>
    </r>
  </si>
  <si>
    <r>
      <t>average cone penetration resistance measured over a specified depth during a CPT test. Cone penetration resistance is equal to the vertical force applied to the cone divided by its horizontally projected area, kPa (lbf</t>
    </r>
    <r>
      <rPr>
        <i/>
        <sz val="10"/>
        <rFont val="Arial"/>
        <family val="2"/>
      </rPr>
      <t>/</t>
    </r>
    <r>
      <rPr>
        <sz val="10"/>
        <rFont val="Arial"/>
        <family val="2"/>
      </rPr>
      <t>in</t>
    </r>
    <r>
      <rPr>
        <vertAlign val="superscript"/>
        <sz val="10"/>
        <rFont val="Arial"/>
        <family val="2"/>
      </rPr>
      <t>2</t>
    </r>
    <r>
      <rPr>
        <sz val="10"/>
        <rFont val="Arial"/>
        <family val="2"/>
      </rPr>
      <t>)</t>
    </r>
  </si>
  <si>
    <r>
      <t xml:space="preserve">total overburden pressure at footing depth </t>
    </r>
    <r>
      <rPr>
        <i/>
        <sz val="10"/>
        <rFont val="Arial"/>
        <family val="2"/>
      </rPr>
      <t>d</t>
    </r>
    <r>
      <rPr>
        <i/>
        <vertAlign val="subscript"/>
        <sz val="10"/>
        <rFont val="Arial"/>
        <family val="2"/>
      </rPr>
      <t>F</t>
    </r>
    <r>
      <rPr>
        <sz val="10"/>
        <rFont val="Arial"/>
        <family val="2"/>
      </rPr>
      <t>, kPa (lbf</t>
    </r>
    <r>
      <rPr>
        <i/>
        <sz val="10"/>
        <rFont val="Arial"/>
        <family val="2"/>
      </rPr>
      <t>/</t>
    </r>
    <r>
      <rPr>
        <sz val="10"/>
        <rFont val="Arial"/>
        <family val="2"/>
      </rPr>
      <t>in</t>
    </r>
    <r>
      <rPr>
        <vertAlign val="superscript"/>
        <sz val="10"/>
        <rFont val="Arial"/>
        <family val="2"/>
      </rPr>
      <t>2</t>
    </r>
    <r>
      <rPr>
        <sz val="10"/>
        <rFont val="Arial"/>
        <family val="2"/>
      </rPr>
      <t>)</t>
    </r>
  </si>
  <si>
    <t>r</t>
  </si>
  <si>
    <t>radius of uplift resisting system (e.g. concrete collar), m (in)</t>
  </si>
  <si>
    <t>LRFD resistance factor for bearing strength assessment, dimensionless</t>
  </si>
  <si>
    <t>LRFD resistance factor for lateral strength assessment, dimensionless</t>
  </si>
  <si>
    <t>LRFD resistance factor for uplift strength assessment, dimensionless</t>
  </si>
  <si>
    <t>shape factor for ultimate bearing strength of a cohesive soil based on the general bearing capacity equation, dimensionless</t>
  </si>
  <si>
    <t>shape factor for ultimate bearing strength of a cohesionless soil based on the general bearing capacity equation, dimensionless</t>
  </si>
  <si>
    <r>
      <t>s</t>
    </r>
    <r>
      <rPr>
        <i/>
        <vertAlign val="subscript"/>
        <sz val="10"/>
        <rFont val="Arial"/>
        <family val="2"/>
      </rPr>
      <t>F</t>
    </r>
  </si>
  <si>
    <r>
      <t>V</t>
    </r>
    <r>
      <rPr>
        <b/>
        <i/>
        <vertAlign val="subscript"/>
        <sz val="12"/>
        <color indexed="9"/>
        <rFont val="Arial"/>
        <family val="2"/>
      </rPr>
      <t>U</t>
    </r>
    <r>
      <rPr>
        <b/>
        <sz val="12"/>
        <color indexed="9"/>
        <rFont val="Arial"/>
        <family val="2"/>
      </rPr>
      <t xml:space="preserve"> Calculation</t>
    </r>
    <r>
      <rPr>
        <b/>
        <i/>
        <sz val="12"/>
        <color indexed="9"/>
        <rFont val="Arial"/>
        <family val="2"/>
      </rPr>
      <t xml:space="preserve"> </t>
    </r>
    <r>
      <rPr>
        <b/>
        <sz val="12"/>
        <color indexed="9"/>
        <rFont val="Arial"/>
        <family val="2"/>
      </rPr>
      <t xml:space="preserve">for Specified </t>
    </r>
    <r>
      <rPr>
        <b/>
        <i/>
        <sz val="12"/>
        <color indexed="9"/>
        <rFont val="Arial"/>
        <family val="2"/>
      </rPr>
      <t>M</t>
    </r>
    <r>
      <rPr>
        <b/>
        <i/>
        <vertAlign val="subscript"/>
        <sz val="12"/>
        <color indexed="9"/>
        <rFont val="Arial"/>
        <family val="2"/>
      </rPr>
      <t>U</t>
    </r>
    <r>
      <rPr>
        <b/>
        <sz val="12"/>
        <color indexed="9"/>
        <rFont val="Arial"/>
        <family val="2"/>
      </rPr>
      <t>:</t>
    </r>
    <r>
      <rPr>
        <b/>
        <i/>
        <sz val="12"/>
        <color indexed="9"/>
        <rFont val="Arial"/>
        <family val="2"/>
      </rPr>
      <t>V</t>
    </r>
    <r>
      <rPr>
        <b/>
        <i/>
        <vertAlign val="subscript"/>
        <sz val="12"/>
        <color indexed="9"/>
        <rFont val="Arial"/>
        <family val="2"/>
      </rPr>
      <t>U</t>
    </r>
    <r>
      <rPr>
        <b/>
        <sz val="12"/>
        <color indexed="9"/>
        <rFont val="Arial"/>
        <family val="2"/>
      </rPr>
      <t xml:space="preserve"> Ratio</t>
    </r>
  </si>
  <si>
    <t>shape factor for uplift resistance in cohesionless soils, dimensionless</t>
  </si>
  <si>
    <r>
      <t>increase per unit depth in the ultimate lateral force per unit depth that is applied to a foundation by a cohesionless soil, kPa (lbf</t>
    </r>
    <r>
      <rPr>
        <i/>
        <sz val="10"/>
        <rFont val="Arial"/>
        <family val="2"/>
      </rPr>
      <t>/</t>
    </r>
    <r>
      <rPr>
        <sz val="10"/>
        <rFont val="Arial"/>
        <family val="2"/>
      </rPr>
      <t>in</t>
    </r>
    <r>
      <rPr>
        <vertAlign val="superscript"/>
        <sz val="10"/>
        <rFont val="Arial"/>
        <family val="2"/>
      </rPr>
      <t>2</t>
    </r>
    <r>
      <rPr>
        <sz val="10"/>
        <rFont val="Arial"/>
        <family val="2"/>
      </rPr>
      <t>)</t>
    </r>
  </si>
  <si>
    <r>
      <t>S</t>
    </r>
    <r>
      <rPr>
        <i/>
        <vertAlign val="subscript"/>
        <sz val="10"/>
        <rFont val="Arial"/>
        <family val="2"/>
      </rPr>
      <t>u</t>
    </r>
  </si>
  <si>
    <t>Ultimate uplift resistance due to soil mass</t>
  </si>
  <si>
    <r>
      <t xml:space="preserve">Appropriate value from following </t>
    </r>
    <r>
      <rPr>
        <i/>
        <sz val="10"/>
        <rFont val="Arial"/>
        <family val="2"/>
      </rPr>
      <t>U</t>
    </r>
    <r>
      <rPr>
        <sz val="10"/>
        <rFont val="Arial"/>
        <family val="0"/>
      </rPr>
      <t xml:space="preserve"> calculations</t>
    </r>
  </si>
  <si>
    <r>
      <t>undrained shear strength, kPa (lbf</t>
    </r>
    <r>
      <rPr>
        <i/>
        <sz val="10"/>
        <rFont val="Arial"/>
        <family val="2"/>
      </rPr>
      <t>/</t>
    </r>
    <r>
      <rPr>
        <sz val="10"/>
        <rFont val="Arial"/>
        <family val="2"/>
      </rPr>
      <t>in</t>
    </r>
    <r>
      <rPr>
        <vertAlign val="superscript"/>
        <sz val="10"/>
        <rFont val="Arial"/>
        <family val="2"/>
      </rPr>
      <t>2</t>
    </r>
    <r>
      <rPr>
        <sz val="10"/>
        <rFont val="Arial"/>
        <family val="2"/>
      </rPr>
      <t xml:space="preserve">). Numerically equal to cohesion, </t>
    </r>
    <r>
      <rPr>
        <i/>
        <sz val="10"/>
        <rFont val="Arial"/>
        <family val="2"/>
      </rPr>
      <t>c,</t>
    </r>
    <r>
      <rPr>
        <sz val="10"/>
        <rFont val="Arial"/>
        <family val="2"/>
      </rPr>
      <t xml:space="preserve"> for a saturated clay soil</t>
    </r>
  </si>
  <si>
    <t>t</t>
  </si>
  <si>
    <r>
      <t xml:space="preserve">thickness of a soil layer that is represented with a soil spring with stiffness </t>
    </r>
    <r>
      <rPr>
        <i/>
        <sz val="10"/>
        <rFont val="Arial"/>
        <family val="2"/>
      </rPr>
      <t>K</t>
    </r>
    <r>
      <rPr>
        <i/>
        <vertAlign val="subscript"/>
        <sz val="10"/>
        <rFont val="Arial"/>
        <family val="2"/>
      </rPr>
      <t>S</t>
    </r>
    <r>
      <rPr>
        <sz val="10"/>
        <rFont val="Arial"/>
        <family val="2"/>
      </rPr>
      <t>, m (in)</t>
    </r>
  </si>
  <si>
    <r>
      <t>u</t>
    </r>
    <r>
      <rPr>
        <i/>
        <vertAlign val="subscript"/>
        <sz val="10"/>
        <rFont val="Arial"/>
        <family val="2"/>
      </rPr>
      <t>z</t>
    </r>
  </si>
  <si>
    <r>
      <t>pore water pressure at depth</t>
    </r>
    <r>
      <rPr>
        <i/>
        <sz val="10"/>
        <rFont val="Arial"/>
        <family val="2"/>
      </rPr>
      <t xml:space="preserve"> z, </t>
    </r>
    <r>
      <rPr>
        <sz val="10"/>
        <rFont val="Arial"/>
        <family val="2"/>
      </rPr>
      <t>kPa (lbf</t>
    </r>
    <r>
      <rPr>
        <i/>
        <sz val="10"/>
        <rFont val="Arial"/>
        <family val="2"/>
      </rPr>
      <t>/</t>
    </r>
    <r>
      <rPr>
        <sz val="10"/>
        <rFont val="Arial"/>
        <family val="2"/>
      </rPr>
      <t>in</t>
    </r>
    <r>
      <rPr>
        <vertAlign val="superscript"/>
        <sz val="10"/>
        <rFont val="Arial"/>
        <family val="2"/>
      </rPr>
      <t>2</t>
    </r>
    <r>
      <rPr>
        <sz val="10"/>
        <rFont val="Arial"/>
        <family val="2"/>
      </rPr>
      <t>)</t>
    </r>
  </si>
  <si>
    <t>ultimate uplift resistance due to soil mass, kN (lbf)</t>
  </si>
  <si>
    <t>V</t>
  </si>
  <si>
    <t>shear force in post/pier, kN (lbf)</t>
  </si>
  <si>
    <r>
      <t>V</t>
    </r>
    <r>
      <rPr>
        <i/>
        <vertAlign val="subscript"/>
        <sz val="10"/>
        <rFont val="Arial"/>
        <family val="2"/>
      </rPr>
      <t>G</t>
    </r>
  </si>
  <si>
    <r>
      <t>V</t>
    </r>
    <r>
      <rPr>
        <sz val="10"/>
        <rFont val="Arial"/>
        <family val="2"/>
      </rPr>
      <t xml:space="preserve"> at the ground surface (at grade), kN (lbf)</t>
    </r>
  </si>
  <si>
    <r>
      <t>V</t>
    </r>
    <r>
      <rPr>
        <i/>
        <vertAlign val="subscript"/>
        <sz val="10"/>
        <rFont val="Arial"/>
        <family val="2"/>
      </rPr>
      <t>G</t>
    </r>
    <r>
      <rPr>
        <sz val="10"/>
        <rFont val="Arial"/>
        <family val="2"/>
      </rPr>
      <t xml:space="preserve"> due to a ASD load combination, kN (lbf)</t>
    </r>
  </si>
  <si>
    <r>
      <t>V</t>
    </r>
    <r>
      <rPr>
        <i/>
        <vertAlign val="subscript"/>
        <sz val="10"/>
        <rFont val="Arial"/>
        <family val="2"/>
      </rPr>
      <t>G</t>
    </r>
    <r>
      <rPr>
        <sz val="10"/>
        <rFont val="Arial"/>
        <family val="2"/>
      </rPr>
      <t xml:space="preserve"> due to a LRFD load combination, kN (lbf)</t>
    </r>
  </si>
  <si>
    <t>ultimate groundline shear capacity of the foundation as limited by soil strength, kN (lbf)</t>
  </si>
  <si>
    <t>y</t>
  </si>
  <si>
    <t>lateral deflection of post/pier, m (in)</t>
  </si>
  <si>
    <t>w</t>
  </si>
  <si>
    <r>
      <t>dimension of a post/pier measured parallel to the direction of applied lateral load. Equal to width</t>
    </r>
    <r>
      <rPr>
        <i/>
        <sz val="10"/>
        <rFont val="Arial"/>
        <family val="2"/>
      </rPr>
      <t xml:space="preserve"> b</t>
    </r>
    <r>
      <rPr>
        <sz val="10"/>
        <rFont val="Arial"/>
        <family val="2"/>
      </rPr>
      <t xml:space="preserve"> for a round pier</t>
    </r>
    <r>
      <rPr>
        <i/>
        <sz val="10"/>
        <rFont val="Arial"/>
        <family val="2"/>
      </rPr>
      <t>/</t>
    </r>
    <r>
      <rPr>
        <sz val="10"/>
        <rFont val="Arial"/>
        <family val="2"/>
      </rPr>
      <t>pole; m (in)</t>
    </r>
  </si>
  <si>
    <t>z</t>
  </si>
  <si>
    <t>depth below the ground surface, m, (in)</t>
  </si>
  <si>
    <r>
      <t xml:space="preserve">moist unit weight of soil = </t>
    </r>
    <r>
      <rPr>
        <i/>
        <sz val="10"/>
        <rFont val="Arial"/>
        <family val="2"/>
      </rPr>
      <t>ρ g</t>
    </r>
    <r>
      <rPr>
        <sz val="10"/>
        <rFont val="Arial"/>
        <family val="2"/>
      </rPr>
      <t>,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 xml:space="preserve"> in</t>
    </r>
    <r>
      <rPr>
        <vertAlign val="superscript"/>
        <sz val="10"/>
        <rFont val="Arial"/>
        <family val="2"/>
      </rPr>
      <t>3</t>
    </r>
    <r>
      <rPr>
        <sz val="10"/>
        <rFont val="Arial"/>
        <family val="2"/>
      </rPr>
      <t>)</t>
    </r>
  </si>
  <si>
    <r>
      <t>g</t>
    </r>
    <r>
      <rPr>
        <i/>
        <vertAlign val="subscript"/>
        <sz val="10"/>
        <rFont val="Arial"/>
        <family val="2"/>
      </rPr>
      <t>D</t>
    </r>
  </si>
  <si>
    <r>
      <t xml:space="preserve">dry unit weight of soil = </t>
    </r>
    <r>
      <rPr>
        <i/>
        <sz val="10"/>
        <rFont val="Arial"/>
        <family val="2"/>
      </rPr>
      <t>ρ</t>
    </r>
    <r>
      <rPr>
        <i/>
        <vertAlign val="subscript"/>
        <sz val="10"/>
        <rFont val="Arial"/>
        <family val="2"/>
      </rPr>
      <t xml:space="preserve">D </t>
    </r>
    <r>
      <rPr>
        <i/>
        <sz val="10"/>
        <rFont val="Arial"/>
        <family val="2"/>
      </rPr>
      <t>g</t>
    </r>
    <r>
      <rPr>
        <sz val="10"/>
        <rFont val="Arial"/>
        <family val="2"/>
      </rPr>
      <t>, kN</t>
    </r>
    <r>
      <rPr>
        <i/>
        <sz val="10"/>
        <rFont val="Arial"/>
        <family val="2"/>
      </rPr>
      <t>/</t>
    </r>
    <r>
      <rPr>
        <sz val="10"/>
        <rFont val="Arial"/>
        <family val="2"/>
      </rPr>
      <t>m</t>
    </r>
    <r>
      <rPr>
        <vertAlign val="superscript"/>
        <sz val="10"/>
        <rFont val="Arial"/>
        <family val="2"/>
      </rPr>
      <t>3</t>
    </r>
    <r>
      <rPr>
        <sz val="10"/>
        <rFont val="Arial"/>
        <family val="2"/>
      </rPr>
      <t xml:space="preserve"> (lbf</t>
    </r>
    <r>
      <rPr>
        <i/>
        <sz val="10"/>
        <rFont val="Arial"/>
        <family val="2"/>
      </rPr>
      <t>/</t>
    </r>
    <r>
      <rPr>
        <sz val="10"/>
        <rFont val="Arial"/>
        <family val="2"/>
      </rPr>
      <t xml:space="preserve"> in</t>
    </r>
    <r>
      <rPr>
        <vertAlign val="superscript"/>
        <sz val="10"/>
        <rFont val="Arial"/>
        <family val="2"/>
      </rPr>
      <t>3</t>
    </r>
    <r>
      <rPr>
        <sz val="10"/>
        <rFont val="Arial"/>
        <family val="2"/>
      </rPr>
      <t>)</t>
    </r>
  </si>
  <si>
    <t>D</t>
  </si>
  <si>
    <t>lateral deflection of post/pier at ground surface, m (in)</t>
  </si>
  <si>
    <t>ε</t>
  </si>
  <si>
    <r>
      <t>strain, mm/mm (in</t>
    </r>
    <r>
      <rPr>
        <vertAlign val="subscript"/>
        <sz val="10"/>
        <rFont val="Arial"/>
        <family val="2"/>
      </rPr>
      <t xml:space="preserve"> </t>
    </r>
    <r>
      <rPr>
        <i/>
        <sz val="10"/>
        <rFont val="Arial"/>
        <family val="2"/>
      </rPr>
      <t>/</t>
    </r>
    <r>
      <rPr>
        <i/>
        <vertAlign val="subscript"/>
        <sz val="10"/>
        <rFont val="Arial"/>
        <family val="2"/>
      </rPr>
      <t xml:space="preserve"> </t>
    </r>
    <r>
      <rPr>
        <sz val="10"/>
        <rFont val="Arial"/>
        <family val="2"/>
      </rPr>
      <t>in)</t>
    </r>
  </si>
  <si>
    <t>q</t>
  </si>
  <si>
    <t>below grade rotation of post/pier with infinite flexural rigidity, radians</t>
  </si>
  <si>
    <t>ν</t>
  </si>
  <si>
    <t>Poisson’s ratio, dimensionless</t>
  </si>
  <si>
    <t>ρ</t>
  </si>
  <si>
    <r>
      <t>moist bulk density of soil, kg</t>
    </r>
    <r>
      <rPr>
        <i/>
        <sz val="10"/>
        <rFont val="Arial"/>
        <family val="2"/>
      </rPr>
      <t>/</t>
    </r>
    <r>
      <rPr>
        <sz val="10"/>
        <rFont val="Arial"/>
        <family val="2"/>
      </rPr>
      <t>m</t>
    </r>
    <r>
      <rPr>
        <vertAlign val="superscript"/>
        <sz val="10"/>
        <rFont val="Arial"/>
        <family val="2"/>
      </rPr>
      <t>3</t>
    </r>
    <r>
      <rPr>
        <sz val="10"/>
        <rFont val="Arial"/>
        <family val="2"/>
      </rPr>
      <t xml:space="preserve"> (lbm</t>
    </r>
    <r>
      <rPr>
        <i/>
        <sz val="10"/>
        <rFont val="Arial"/>
        <family val="2"/>
      </rPr>
      <t>/</t>
    </r>
    <r>
      <rPr>
        <sz val="10"/>
        <rFont val="Arial"/>
        <family val="2"/>
      </rPr>
      <t>in</t>
    </r>
    <r>
      <rPr>
        <vertAlign val="superscript"/>
        <sz val="10"/>
        <rFont val="Arial"/>
        <family val="2"/>
      </rPr>
      <t>3</t>
    </r>
    <r>
      <rPr>
        <sz val="10"/>
        <rFont val="Arial"/>
        <family val="2"/>
      </rPr>
      <t>)</t>
    </r>
  </si>
  <si>
    <r>
      <t>ρ</t>
    </r>
    <r>
      <rPr>
        <i/>
        <vertAlign val="subscript"/>
        <sz val="10"/>
        <rFont val="Arial"/>
        <family val="2"/>
      </rPr>
      <t>D</t>
    </r>
  </si>
  <si>
    <r>
      <t>dry bulk density of soil, kg</t>
    </r>
    <r>
      <rPr>
        <i/>
        <sz val="10"/>
        <rFont val="Arial"/>
        <family val="2"/>
      </rPr>
      <t>/</t>
    </r>
    <r>
      <rPr>
        <sz val="10"/>
        <rFont val="Arial"/>
        <family val="2"/>
      </rPr>
      <t>m</t>
    </r>
    <r>
      <rPr>
        <vertAlign val="superscript"/>
        <sz val="10"/>
        <rFont val="Arial"/>
        <family val="2"/>
      </rPr>
      <t>3</t>
    </r>
    <r>
      <rPr>
        <sz val="10"/>
        <rFont val="Arial"/>
        <family val="2"/>
      </rPr>
      <t xml:space="preserve"> (lbm</t>
    </r>
    <r>
      <rPr>
        <i/>
        <sz val="10"/>
        <rFont val="Arial"/>
        <family val="2"/>
      </rPr>
      <t>/</t>
    </r>
    <r>
      <rPr>
        <sz val="10"/>
        <rFont val="Arial"/>
        <family val="2"/>
      </rPr>
      <t>in</t>
    </r>
    <r>
      <rPr>
        <vertAlign val="superscript"/>
        <sz val="10"/>
        <rFont val="Arial"/>
        <family val="2"/>
      </rPr>
      <t>3</t>
    </r>
    <r>
      <rPr>
        <sz val="10"/>
        <rFont val="Arial"/>
        <family val="2"/>
      </rPr>
      <t>)</t>
    </r>
  </si>
  <si>
    <t>σ</t>
  </si>
  <si>
    <r>
      <t>stress, kPa (lbf</t>
    </r>
    <r>
      <rPr>
        <i/>
        <sz val="10"/>
        <rFont val="Arial"/>
        <family val="2"/>
      </rPr>
      <t>/</t>
    </r>
    <r>
      <rPr>
        <sz val="10"/>
        <rFont val="Arial"/>
        <family val="2"/>
      </rPr>
      <t>in</t>
    </r>
    <r>
      <rPr>
        <vertAlign val="superscript"/>
        <sz val="10"/>
        <rFont val="Arial"/>
        <family val="2"/>
      </rPr>
      <t>2</t>
    </r>
    <r>
      <rPr>
        <sz val="10"/>
        <rFont val="Arial"/>
        <family val="2"/>
      </rPr>
      <t>)</t>
    </r>
  </si>
  <si>
    <r>
      <t>σ</t>
    </r>
    <r>
      <rPr>
        <i/>
        <vertAlign val="subscript"/>
        <sz val="10"/>
        <rFont val="Arial"/>
        <family val="2"/>
      </rPr>
      <t>v</t>
    </r>
  </si>
  <si>
    <r>
      <t>total vertical stress, kPa (lbf</t>
    </r>
    <r>
      <rPr>
        <i/>
        <sz val="10"/>
        <rFont val="Arial"/>
        <family val="2"/>
      </rPr>
      <t>/</t>
    </r>
    <r>
      <rPr>
        <sz val="10"/>
        <rFont val="Arial"/>
        <family val="2"/>
      </rPr>
      <t>in</t>
    </r>
    <r>
      <rPr>
        <vertAlign val="superscript"/>
        <sz val="10"/>
        <rFont val="Arial"/>
        <family val="2"/>
      </rPr>
      <t>2</t>
    </r>
    <r>
      <rPr>
        <sz val="10"/>
        <rFont val="Arial"/>
        <family val="2"/>
      </rPr>
      <t>)</t>
    </r>
  </si>
  <si>
    <r>
      <t>σ</t>
    </r>
    <r>
      <rPr>
        <i/>
        <sz val="10"/>
        <rFont val="Symbol"/>
        <family val="1"/>
      </rPr>
      <t>¢</t>
    </r>
    <r>
      <rPr>
        <i/>
        <vertAlign val="subscript"/>
        <sz val="10"/>
        <rFont val="Arial"/>
        <family val="2"/>
      </rPr>
      <t>v</t>
    </r>
  </si>
  <si>
    <r>
      <t>effective vertical stress, kPa (lbf</t>
    </r>
    <r>
      <rPr>
        <i/>
        <sz val="10"/>
        <rFont val="Arial"/>
        <family val="2"/>
      </rPr>
      <t>/</t>
    </r>
    <r>
      <rPr>
        <sz val="10"/>
        <rFont val="Arial"/>
        <family val="2"/>
      </rPr>
      <t>in</t>
    </r>
    <r>
      <rPr>
        <vertAlign val="superscript"/>
        <sz val="10"/>
        <rFont val="Arial"/>
        <family val="2"/>
      </rPr>
      <t>2</t>
    </r>
    <r>
      <rPr>
        <sz val="10"/>
        <rFont val="Arial"/>
        <family val="2"/>
      </rPr>
      <t>)</t>
    </r>
  </si>
  <si>
    <r>
      <t>total horizontal stress at rest, kPa (lbf</t>
    </r>
    <r>
      <rPr>
        <i/>
        <sz val="10"/>
        <rFont val="Arial"/>
        <family val="2"/>
      </rPr>
      <t>/</t>
    </r>
    <r>
      <rPr>
        <sz val="10"/>
        <rFont val="Arial"/>
        <family val="2"/>
      </rPr>
      <t>in</t>
    </r>
    <r>
      <rPr>
        <vertAlign val="superscript"/>
        <sz val="10"/>
        <rFont val="Arial"/>
        <family val="2"/>
      </rPr>
      <t>2</t>
    </r>
    <r>
      <rPr>
        <sz val="10"/>
        <rFont val="Arial"/>
        <family val="2"/>
      </rPr>
      <t>)</t>
    </r>
  </si>
  <si>
    <r>
      <t>σ</t>
    </r>
    <r>
      <rPr>
        <i/>
        <sz val="10"/>
        <rFont val="Symbol"/>
        <family val="1"/>
      </rPr>
      <t>¢</t>
    </r>
    <r>
      <rPr>
        <i/>
        <vertAlign val="subscript"/>
        <sz val="10"/>
        <rFont val="Arial"/>
        <family val="2"/>
      </rPr>
      <t>0h</t>
    </r>
  </si>
  <si>
    <r>
      <t>effective horizontal stress at rest, kPa (lbf</t>
    </r>
    <r>
      <rPr>
        <i/>
        <sz val="10"/>
        <rFont val="Arial"/>
        <family val="2"/>
      </rPr>
      <t>/</t>
    </r>
    <r>
      <rPr>
        <sz val="10"/>
        <rFont val="Arial"/>
        <family val="2"/>
      </rPr>
      <t>in</t>
    </r>
    <r>
      <rPr>
        <vertAlign val="superscript"/>
        <sz val="10"/>
        <rFont val="Arial"/>
        <family val="2"/>
      </rPr>
      <t>2</t>
    </r>
    <r>
      <rPr>
        <sz val="10"/>
        <rFont val="Arial"/>
        <family val="2"/>
      </rPr>
      <t>)</t>
    </r>
  </si>
  <si>
    <t>effective friction angle of soil, degrees</t>
  </si>
  <si>
    <t>Foundation component at the base of a post or pier that provides resistance to vertical downward forces. When properly attached to the post/pier, a footing aids in the resistance of lateral and vertical uplift forces, and embedment depth is measured to the base of the footing instead of to the top of the footing. See Figures 1 through 5.</t>
  </si>
  <si>
    <t>An assembly consisting of a pier and all below-grade elements, which may include a footing, uplift resistance system, and collar. See Figure 3.</t>
  </si>
  <si>
    <t>A relatively long and slender column driven, screwed, jacked, vibrated, drilled or otherwise installed into soil to provide lateral and vertical support for a structure. Generally used to carry loads through weak layers of soil to those capable of supporting such loads. This engineering practice is not applicable to the design of piles.</t>
  </si>
  <si>
    <t>An assembly consisting of an embedded post and all below-grade elements, which may include a footing, uplift resistance system, and collar. See Figure 1.</t>
  </si>
  <si>
    <t>A helical pier primarily designed to handle uplift or tension forces.</t>
  </si>
  <si>
    <r>
      <t xml:space="preserve">A foundation for which deformation under load is small, so foundation movement approximates rigid body motion. Foundation deformation is kept small by selection of foundation depth, </t>
    </r>
    <r>
      <rPr>
        <i/>
        <sz val="10"/>
        <rFont val="Arial"/>
        <family val="2"/>
      </rPr>
      <t>d</t>
    </r>
    <r>
      <rPr>
        <sz val="10"/>
        <rFont val="Arial"/>
        <family val="2"/>
      </rPr>
      <t xml:space="preserve">, and post/pier bending stiffness, </t>
    </r>
    <r>
      <rPr>
        <i/>
        <sz val="10"/>
        <rFont val="Arial"/>
        <family val="2"/>
      </rPr>
      <t>E</t>
    </r>
    <r>
      <rPr>
        <i/>
        <vertAlign val="subscript"/>
        <sz val="10"/>
        <rFont val="Arial"/>
        <family val="2"/>
      </rPr>
      <t xml:space="preserve">p </t>
    </r>
    <r>
      <rPr>
        <i/>
        <sz val="10"/>
        <rFont val="Arial"/>
        <family val="2"/>
      </rPr>
      <t>I</t>
    </r>
    <r>
      <rPr>
        <i/>
        <vertAlign val="subscript"/>
        <sz val="10"/>
        <rFont val="Arial"/>
        <family val="2"/>
      </rPr>
      <t>p</t>
    </r>
    <r>
      <rPr>
        <i/>
        <sz val="10"/>
        <rFont val="Arial"/>
        <family val="2"/>
      </rPr>
      <t>.</t>
    </r>
  </si>
  <si>
    <t>Elements attached to an embedded post or pier, generally near the base, to increase the uplift resistance of a foundation system. See Figures 1 through 5.</t>
  </si>
  <si>
    <t>backfill</t>
  </si>
  <si>
    <t>collar</t>
  </si>
  <si>
    <t>driven pier or post</t>
  </si>
  <si>
    <t xml:space="preserve">footing </t>
  </si>
  <si>
    <t>helical pier</t>
  </si>
  <si>
    <t>pedestal</t>
  </si>
  <si>
    <t>pier</t>
  </si>
  <si>
    <t xml:space="preserve">pier foundation </t>
  </si>
  <si>
    <t xml:space="preserve">pile </t>
  </si>
  <si>
    <t>pole</t>
  </si>
  <si>
    <t>post</t>
  </si>
  <si>
    <t xml:space="preserve">post foundation </t>
  </si>
  <si>
    <t xml:space="preserve">screw anchor </t>
  </si>
  <si>
    <t xml:space="preserve">shallow foundation </t>
  </si>
  <si>
    <t xml:space="preserve">uplift resistance system </t>
  </si>
  <si>
    <t xml:space="preserve"> A post or pier foundation that is restrained from significant horizontal movement at the ground surface, typically by a concrete slab.</t>
  </si>
  <si>
    <t>Vertical distance from the ground surface to the bottom of a post or pier foundation. Typically the vertical distance from the ground surface to the base of the footing.</t>
  </si>
  <si>
    <t>A post or pier foundation that is not restrained from moving horizontally at or above the ground surface.</t>
  </si>
  <si>
    <r>
      <t>Vertical distance from the ground surface to the bottom of the embedded post or pier. Includes the thickness of the footing when the footing is rigidly attached to the post/pier or is cast integrally with the post</t>
    </r>
    <r>
      <rPr>
        <i/>
        <sz val="10"/>
        <rFont val="Arial"/>
        <family val="2"/>
      </rPr>
      <t>/</t>
    </r>
    <r>
      <rPr>
        <sz val="10"/>
        <rFont val="Arial"/>
        <family val="2"/>
      </rPr>
      <t>pier.</t>
    </r>
  </si>
  <si>
    <r>
      <t>The cross-sectional dimension that is perpendicular to the direction of lateral post/pier movement. This width defines the area of contact between the foundation and soil that resists lateral post</t>
    </r>
    <r>
      <rPr>
        <i/>
        <sz val="10"/>
        <rFont val="Arial"/>
        <family val="2"/>
      </rPr>
      <t>/</t>
    </r>
    <r>
      <rPr>
        <sz val="10"/>
        <rFont val="Arial"/>
        <family val="2"/>
      </rPr>
      <t>pier movement. The width of a round post or pier is its diameter.</t>
    </r>
  </si>
  <si>
    <t>constrained post (or pier)</t>
  </si>
  <si>
    <r>
      <t xml:space="preserve">foundation depth, </t>
    </r>
    <r>
      <rPr>
        <b/>
        <i/>
        <sz val="10"/>
        <rFont val="Arial"/>
        <family val="2"/>
      </rPr>
      <t>d</t>
    </r>
    <r>
      <rPr>
        <b/>
        <i/>
        <vertAlign val="subscript"/>
        <sz val="10"/>
        <rFont val="Arial"/>
        <family val="2"/>
      </rPr>
      <t>F</t>
    </r>
    <r>
      <rPr>
        <b/>
        <i/>
        <sz val="10"/>
        <rFont val="Arial"/>
        <family val="2"/>
      </rPr>
      <t xml:space="preserve"> </t>
    </r>
  </si>
  <si>
    <r>
      <t xml:space="preserve">post (or pier) embedment depth, </t>
    </r>
    <r>
      <rPr>
        <b/>
        <i/>
        <sz val="10"/>
        <rFont val="Arial"/>
        <family val="2"/>
      </rPr>
      <t>d</t>
    </r>
    <r>
      <rPr>
        <b/>
        <sz val="10"/>
        <rFont val="Arial"/>
        <family val="2"/>
      </rPr>
      <t xml:space="preserve"> </t>
    </r>
  </si>
  <si>
    <t>Component of soil shear strength due to cementation or bonding at particle contacts resulting from ionic bonds, hydrogen bonds, and gravitational attraction.</t>
  </si>
  <si>
    <t>A self-leveling and self-compacting, cementitious material with an unconfined compressive strength of 8 MPa (1200 psi) or less. Other terms used to describe controlled low-strength material (CLSM) include flowable fill, unshrinkable fill, controlled density fill, flowable mortar, flowable fly ash, fly ash slurry, plastic soil-cement and soil-cement slurry.</t>
  </si>
  <si>
    <r>
      <t xml:space="preserve">Soil property used in the calculation of horizontal soil stiffness. When divided by post/pier width </t>
    </r>
    <r>
      <rPr>
        <i/>
        <sz val="10"/>
        <rFont val="Arial"/>
        <family val="2"/>
      </rPr>
      <t>b</t>
    </r>
    <r>
      <rPr>
        <sz val="10"/>
        <rFont val="Arial"/>
        <family val="2"/>
      </rPr>
      <t>, the constant of horizontal subgrade reaction establishes the rate at which the modulus of horizontal subgrade reaction increases with depth.</t>
    </r>
  </si>
  <si>
    <t>Oven-dried mass of a soil divided by its in-situ volume. Also known as dry unit weight.</t>
  </si>
  <si>
    <t>Net stress across points of contact of soil particles, generally considered as equivalent to the total stress minus the pore water pressure.</t>
  </si>
  <si>
    <t>Surface distortion caused by volume expansion within the soil when water freezes and ice lenses form.</t>
  </si>
  <si>
    <t>Mass of a soil divided by its in-situ volume. Also known as wet unit weight.</t>
  </si>
  <si>
    <t>Transverse (lateral) strain divided by the corresponding axial (longitudinal) strain that occurs when a uniformly distributed axial load is applied to a soil sample whose transverse expansion is not restricted during load application.</t>
  </si>
  <si>
    <r>
      <t xml:space="preserve">Slope angle of Mohr-Coulomb shear strength criterion for soils, where shear strength = </t>
    </r>
    <r>
      <rPr>
        <i/>
        <sz val="10"/>
        <rFont val="Symbol"/>
        <family val="1"/>
      </rPr>
      <t>s</t>
    </r>
    <r>
      <rPr>
        <sz val="10"/>
        <rFont val="Arial"/>
        <family val="2"/>
      </rPr>
      <t xml:space="preserve"> tan </t>
    </r>
    <r>
      <rPr>
        <i/>
        <sz val="10"/>
        <rFont val="Symbol"/>
        <family val="1"/>
      </rPr>
      <t>f</t>
    </r>
    <r>
      <rPr>
        <sz val="10"/>
        <rFont val="Arial"/>
        <family val="2"/>
      </rPr>
      <t xml:space="preserve"> + </t>
    </r>
    <r>
      <rPr>
        <i/>
        <sz val="10"/>
        <rFont val="Arial"/>
        <family val="2"/>
      </rPr>
      <t>c</t>
    </r>
    <r>
      <rPr>
        <sz val="10"/>
        <rFont val="Arial"/>
        <family val="2"/>
      </rPr>
      <t>.</t>
    </r>
  </si>
  <si>
    <t xml:space="preserve"> A soil material, particularly clays, that exhibit expansion with increasing moisture content, and shrinkage with decreasing moisture content. Also referred to as an expansive soil.</t>
  </si>
  <si>
    <t>Total pressure exerted in any direction by both soil and water.</t>
  </si>
  <si>
    <t xml:space="preserve">total stress: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</si>
</sst>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409]h:mm:ss\ AM/PM"/>
    <numFmt numFmtId="172" formatCode="[$-409]dddd\,\ mmmm\ d\,\ yyyy"/>
  </numFmts>
  <fonts count="54">
    <font>
      <sz val="10"/>
      <name val="Arial"/>
      <family val="0"/>
    </font>
    <font>
      <sz val="8"/>
      <name val="Arial"/>
      <family val="0"/>
    </font>
    <font>
      <b/>
      <sz val="10"/>
      <name val="Arial"/>
      <family val="2"/>
    </font>
    <font>
      <sz val="6"/>
      <name val="Arial"/>
      <family val="2"/>
    </font>
    <font>
      <sz val="10"/>
      <color indexed="8"/>
      <name val="Arial"/>
      <family val="2"/>
    </font>
    <font>
      <i/>
      <sz val="10"/>
      <color indexed="8"/>
      <name val="Symbol"/>
      <family val="1"/>
    </font>
    <font>
      <vertAlign val="superscript"/>
      <sz val="10"/>
      <color indexed="8"/>
      <name val="Arial"/>
      <family val="2"/>
    </font>
    <font>
      <i/>
      <sz val="10"/>
      <color indexed="8"/>
      <name val="Arial"/>
      <family val="2"/>
    </font>
    <font>
      <i/>
      <vertAlign val="subscript"/>
      <sz val="10"/>
      <color indexed="8"/>
      <name val="Arial"/>
      <family val="2"/>
    </font>
    <font>
      <sz val="12"/>
      <name val="Arial"/>
      <family val="2"/>
    </font>
    <font>
      <b/>
      <sz val="12"/>
      <name val="Arial"/>
      <family val="2"/>
    </font>
    <font>
      <sz val="10"/>
      <name val="Symbol"/>
      <family val="1"/>
    </font>
    <font>
      <vertAlign val="superscript"/>
      <sz val="10"/>
      <name val="Arial"/>
      <family val="2"/>
    </font>
    <font>
      <i/>
      <sz val="9"/>
      <color indexed="8"/>
      <name val="Arial"/>
      <family val="2"/>
    </font>
    <font>
      <sz val="9"/>
      <color indexed="8"/>
      <name val="Arial"/>
      <family val="2"/>
    </font>
    <font>
      <i/>
      <sz val="10"/>
      <name val="Arial"/>
      <family val="2"/>
    </font>
    <font>
      <i/>
      <vertAlign val="subscript"/>
      <sz val="10"/>
      <name val="Arial"/>
      <family val="2"/>
    </font>
    <font>
      <i/>
      <vertAlign val="superscript"/>
      <sz val="10"/>
      <name val="Arial"/>
      <family val="2"/>
    </font>
    <font>
      <i/>
      <sz val="10"/>
      <name val="Symbol"/>
      <family val="1"/>
    </font>
    <font>
      <vertAlign val="subscript"/>
      <sz val="10"/>
      <name val="Arial"/>
      <family val="2"/>
    </font>
    <font>
      <b/>
      <i/>
      <sz val="12"/>
      <name val="Arial"/>
      <family val="2"/>
    </font>
    <font>
      <b/>
      <i/>
      <sz val="10"/>
      <name val="Arial"/>
      <family val="2"/>
    </font>
    <font>
      <b/>
      <i/>
      <vertAlign val="subscript"/>
      <sz val="10"/>
      <name val="Arial"/>
      <family val="2"/>
    </font>
    <font>
      <i/>
      <vertAlign val="subscript"/>
      <sz val="10"/>
      <name val="Symbol"/>
      <family val="1"/>
    </font>
    <font>
      <b/>
      <vertAlign val="superscript"/>
      <sz val="10"/>
      <name val="Arial"/>
      <family val="2"/>
    </font>
    <font>
      <i/>
      <vertAlign val="subscript"/>
      <sz val="9"/>
      <color indexed="8"/>
      <name val="Arial"/>
      <family val="2"/>
    </font>
    <font>
      <b/>
      <sz val="14"/>
      <color indexed="9"/>
      <name val="Arial"/>
      <family val="2"/>
    </font>
    <font>
      <sz val="10"/>
      <color indexed="8"/>
      <name val="Symbol"/>
      <family val="1"/>
    </font>
    <font>
      <b/>
      <sz val="12"/>
      <color indexed="9"/>
      <name val="Arial"/>
      <family val="2"/>
    </font>
    <font>
      <sz val="12"/>
      <color indexed="9"/>
      <name val="Arial"/>
      <family val="2"/>
    </font>
    <font>
      <sz val="10"/>
      <color indexed="9"/>
      <name val="Arial"/>
      <family val="2"/>
    </font>
    <font>
      <b/>
      <sz val="10"/>
      <color indexed="8"/>
      <name val="Arial"/>
      <family val="2"/>
    </font>
    <font>
      <b/>
      <vertAlign val="superscript"/>
      <sz val="10"/>
      <color indexed="8"/>
      <name val="Arial"/>
      <family val="2"/>
    </font>
    <font>
      <b/>
      <i/>
      <sz val="10"/>
      <name val="Symbol"/>
      <family val="1"/>
    </font>
    <font>
      <b/>
      <i/>
      <sz val="10"/>
      <color indexed="8"/>
      <name val="Arial"/>
      <family val="2"/>
    </font>
    <font>
      <b/>
      <i/>
      <vertAlign val="subscript"/>
      <sz val="10"/>
      <color indexed="8"/>
      <name val="Arial"/>
      <family val="2"/>
    </font>
    <font>
      <b/>
      <i/>
      <sz val="12"/>
      <color indexed="9"/>
      <name val="Arial"/>
      <family val="2"/>
    </font>
    <font>
      <b/>
      <i/>
      <vertAlign val="subscript"/>
      <sz val="12"/>
      <color indexed="9"/>
      <name val="Arial"/>
      <family val="2"/>
    </font>
    <font>
      <b/>
      <i/>
      <sz val="14"/>
      <color indexed="9"/>
      <name val="Arial"/>
      <family val="2"/>
    </font>
    <font>
      <b/>
      <i/>
      <vertAlign val="subscript"/>
      <sz val="14"/>
      <color indexed="9"/>
      <name val="Arial"/>
      <family val="2"/>
    </font>
    <font>
      <sz val="14"/>
      <color indexed="9"/>
      <name val="Arial"/>
      <family val="2"/>
    </font>
    <font>
      <b/>
      <vertAlign val="subscript"/>
      <sz val="10"/>
      <color indexed="8"/>
      <name val="Arial"/>
      <family val="2"/>
    </font>
    <font>
      <i/>
      <sz val="9"/>
      <color indexed="8"/>
      <name val="Symbol"/>
      <family val="1"/>
    </font>
    <font>
      <b/>
      <vertAlign val="superscript"/>
      <sz val="14"/>
      <color indexed="9"/>
      <name val="Arial"/>
      <family val="2"/>
    </font>
    <font>
      <b/>
      <sz val="11"/>
      <name val="Arial"/>
      <family val="2"/>
    </font>
    <font>
      <b/>
      <vertAlign val="superscript"/>
      <sz val="11"/>
      <name val="Arial"/>
      <family val="2"/>
    </font>
    <font>
      <b/>
      <vertAlign val="subscript"/>
      <sz val="10"/>
      <name val="Arial"/>
      <family val="2"/>
    </font>
    <font>
      <b/>
      <i/>
      <sz val="12"/>
      <name val="Symbol"/>
      <family val="1"/>
    </font>
    <font>
      <b/>
      <i/>
      <sz val="6"/>
      <name val="Arial"/>
      <family val="2"/>
    </font>
    <font>
      <b/>
      <sz val="10"/>
      <name val="Symbol"/>
      <family val="1"/>
    </font>
    <font>
      <b/>
      <i/>
      <sz val="10"/>
      <color indexed="8"/>
      <name val="Symbol"/>
      <family val="1"/>
    </font>
    <font>
      <u val="single"/>
      <sz val="10"/>
      <color indexed="12"/>
      <name val="Arial"/>
      <family val="0"/>
    </font>
    <font>
      <u val="single"/>
      <sz val="10"/>
      <color indexed="36"/>
      <name val="Arial"/>
      <family val="0"/>
    </font>
    <font>
      <i/>
      <sz val="6"/>
      <name val="Arial"/>
      <family val="2"/>
    </font>
  </fonts>
  <fills count="9">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9" fontId="0" fillId="0" borderId="0" applyFont="0" applyFill="0" applyBorder="0" applyAlignment="0" applyProtection="0"/>
  </cellStyleXfs>
  <cellXfs count="554">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Font="1" applyAlignment="1">
      <alignment/>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168" fontId="0" fillId="0" borderId="0" xfId="0" applyNumberFormat="1" applyAlignment="1">
      <alignment horizontal="center" vertical="center"/>
    </xf>
    <xf numFmtId="169" fontId="0" fillId="0" borderId="0" xfId="0" applyNumberFormat="1" applyAlignment="1">
      <alignment horizontal="center" vertical="center" wrapText="1"/>
    </xf>
    <xf numFmtId="2" fontId="9" fillId="0" borderId="0" xfId="0" applyNumberFormat="1" applyFont="1" applyAlignment="1">
      <alignment horizontal="center" vertical="center"/>
    </xf>
    <xf numFmtId="2" fontId="0" fillId="0" borderId="0" xfId="0" applyNumberFormat="1" applyAlignment="1">
      <alignment horizontal="center" vertical="center" wrapText="1"/>
    </xf>
    <xf numFmtId="2" fontId="0" fillId="0" borderId="0" xfId="0" applyNumberFormat="1" applyAlignment="1">
      <alignment horizontal="center" vertical="center"/>
    </xf>
    <xf numFmtId="168" fontId="0" fillId="0" borderId="0" xfId="0" applyNumberFormat="1" applyAlignment="1">
      <alignment horizontal="center" vertical="center" wrapText="1"/>
    </xf>
    <xf numFmtId="1" fontId="0" fillId="0" borderId="0" xfId="0" applyNumberFormat="1" applyAlignment="1">
      <alignment horizontal="center" vertical="center"/>
    </xf>
    <xf numFmtId="1" fontId="0" fillId="0" borderId="0" xfId="0" applyNumberFormat="1" applyAlignment="1">
      <alignment horizontal="right" vertical="center" inden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169" fontId="0" fillId="0" borderId="1" xfId="0" applyNumberFormat="1" applyBorder="1" applyAlignment="1">
      <alignment horizontal="center" vertical="center"/>
    </xf>
    <xf numFmtId="0" fontId="4" fillId="3" borderId="2" xfId="0" applyFont="1" applyFill="1" applyBorder="1" applyAlignment="1">
      <alignment horizontal="center" vertical="center" wrapText="1"/>
    </xf>
    <xf numFmtId="0" fontId="2" fillId="2" borderId="1" xfId="0" applyFont="1" applyFill="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Border="1" applyAlignment="1">
      <alignment/>
    </xf>
    <xf numFmtId="0" fontId="0" fillId="0" borderId="0" xfId="0" applyAlignment="1">
      <alignment horizontal="left" vertical="center" indent="1"/>
    </xf>
    <xf numFmtId="0" fontId="0" fillId="3" borderId="1" xfId="0" applyFill="1" applyBorder="1" applyAlignment="1">
      <alignment horizontal="center" vertical="center" wrapText="1"/>
    </xf>
    <xf numFmtId="0" fontId="0" fillId="3" borderId="3" xfId="0"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Border="1" applyAlignment="1">
      <alignment horizontal="left" vertical="center" wrapText="1" indent="1"/>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0" fontId="0" fillId="0" borderId="0" xfId="0" applyFill="1" applyAlignment="1">
      <alignment/>
    </xf>
    <xf numFmtId="2" fontId="4" fillId="0" borderId="1" xfId="0" applyNumberFormat="1" applyFont="1" applyBorder="1" applyAlignment="1">
      <alignment horizontal="center" vertical="center" wrapText="1"/>
    </xf>
    <xf numFmtId="2" fontId="0" fillId="0" borderId="1" xfId="0" applyNumberFormat="1" applyBorder="1" applyAlignment="1">
      <alignment horizontal="center"/>
    </xf>
    <xf numFmtId="0" fontId="2" fillId="5"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center" vertical="center"/>
    </xf>
    <xf numFmtId="0" fontId="0" fillId="0" borderId="1" xfId="0" applyFont="1" applyFill="1" applyBorder="1" applyAlignment="1">
      <alignment horizontal="left" vertical="center" wrapText="1" indent="1"/>
    </xf>
    <xf numFmtId="0" fontId="18" fillId="0" borderId="1" xfId="0" applyFont="1" applyFill="1" applyBorder="1" applyAlignment="1">
      <alignment horizontal="center" vertical="center"/>
    </xf>
    <xf numFmtId="0" fontId="15" fillId="0" borderId="1" xfId="0" applyFont="1" applyFill="1" applyBorder="1" applyAlignment="1">
      <alignment horizontal="left" vertical="center" indent="1"/>
    </xf>
    <xf numFmtId="0" fontId="2" fillId="2"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1" xfId="0" applyBorder="1" applyAlignment="1">
      <alignment horizontal="left" vertical="center" indent="1"/>
    </xf>
    <xf numFmtId="2" fontId="0" fillId="4" borderId="1" xfId="0" applyNumberFormat="1" applyFill="1" applyBorder="1" applyAlignment="1" applyProtection="1">
      <alignment horizontal="center" vertical="center"/>
      <protection/>
    </xf>
    <xf numFmtId="170" fontId="0" fillId="4" borderId="1" xfId="0" applyNumberFormat="1" applyFill="1" applyBorder="1" applyAlignment="1" applyProtection="1">
      <alignment horizontal="center" vertical="center"/>
      <protection/>
    </xf>
    <xf numFmtId="168" fontId="0" fillId="4" borderId="1" xfId="0" applyNumberFormat="1" applyFill="1" applyBorder="1" applyAlignment="1" applyProtection="1">
      <alignment horizontal="center" vertical="center"/>
      <protection/>
    </xf>
    <xf numFmtId="169" fontId="0" fillId="4" borderId="1" xfId="0" applyNumberFormat="1" applyFill="1" applyBorder="1" applyAlignment="1" applyProtection="1">
      <alignment horizontal="center" vertical="center"/>
      <protection/>
    </xf>
    <xf numFmtId="1" fontId="0" fillId="4" borderId="1" xfId="0" applyNumberFormat="1" applyFill="1" applyBorder="1" applyAlignment="1" applyProtection="1">
      <alignment horizontal="center" vertical="center"/>
      <protection/>
    </xf>
    <xf numFmtId="0" fontId="2" fillId="5" borderId="1" xfId="0" applyFont="1" applyFill="1" applyBorder="1" applyAlignment="1" applyProtection="1">
      <alignment horizontal="center" vertical="center"/>
      <protection/>
    </xf>
    <xf numFmtId="168" fontId="0" fillId="6" borderId="1" xfId="0" applyNumberFormat="1" applyFill="1" applyBorder="1" applyAlignment="1" applyProtection="1">
      <alignment horizontal="center" vertical="center"/>
      <protection locked="0"/>
    </xf>
    <xf numFmtId="0" fontId="4" fillId="0" borderId="1" xfId="0" applyFont="1" applyFill="1" applyBorder="1" applyAlignment="1">
      <alignment horizontal="left" vertical="center" wrapText="1" indent="1"/>
    </xf>
    <xf numFmtId="0" fontId="4" fillId="0" borderId="4" xfId="0" applyFont="1" applyBorder="1" applyAlignment="1">
      <alignment horizontal="center" vertical="center" wrapText="1"/>
    </xf>
    <xf numFmtId="0" fontId="28" fillId="7" borderId="0" xfId="0" applyFont="1" applyFill="1" applyAlignment="1">
      <alignment horizontal="left" vertical="center" indent="1"/>
    </xf>
    <xf numFmtId="0" fontId="29" fillId="7" borderId="0" xfId="0" applyFont="1" applyFill="1" applyAlignment="1">
      <alignment horizontal="left" vertical="center" indent="1"/>
    </xf>
    <xf numFmtId="0" fontId="30" fillId="7" borderId="0" xfId="0" applyFont="1" applyFill="1" applyAlignment="1">
      <alignment horizontal="left" vertical="center" inden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0" fillId="0" borderId="0" xfId="0" applyFill="1" applyBorder="1" applyAlignment="1" applyProtection="1">
      <alignment horizontal="left" vertical="center" indent="1"/>
      <protection/>
    </xf>
    <xf numFmtId="0" fontId="10"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15"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left"/>
      <protection/>
    </xf>
    <xf numFmtId="0" fontId="9"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15" fillId="0" borderId="0" xfId="0" applyFont="1" applyFill="1" applyBorder="1" applyAlignment="1" applyProtection="1">
      <alignment horizontal="left" vertical="center" indent="1"/>
      <protection/>
    </xf>
    <xf numFmtId="2" fontId="0" fillId="0" borderId="0" xfId="0" applyNumberForma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center" vertical="center" wrapText="1"/>
      <protection/>
    </xf>
    <xf numFmtId="1" fontId="0" fillId="0" borderId="0" xfId="0" applyNumberFormat="1" applyFill="1" applyBorder="1" applyAlignment="1" applyProtection="1">
      <alignment horizontal="center" vertical="center"/>
      <protection/>
    </xf>
    <xf numFmtId="0" fontId="15" fillId="0" borderId="0" xfId="0" applyFont="1" applyFill="1" applyBorder="1" applyAlignment="1" applyProtection="1">
      <alignment horizontal="left" vertical="center" wrapText="1" indent="1"/>
      <protection/>
    </xf>
    <xf numFmtId="170" fontId="0" fillId="0" borderId="0" xfId="0" applyNumberFormat="1" applyFill="1" applyBorder="1" applyAlignment="1" applyProtection="1">
      <alignment horizontal="center" vertical="center"/>
      <protection/>
    </xf>
    <xf numFmtId="169" fontId="0" fillId="0" borderId="0" xfId="0" applyNumberForma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31" fillId="4" borderId="5" xfId="0" applyFont="1" applyFill="1" applyBorder="1" applyAlignment="1" applyProtection="1">
      <alignment horizontal="left" vertical="center" wrapText="1"/>
      <protection/>
    </xf>
    <xf numFmtId="0" fontId="0" fillId="3" borderId="7" xfId="0" applyFill="1" applyBorder="1" applyAlignment="1">
      <alignment horizontal="center" vertical="center"/>
    </xf>
    <xf numFmtId="0" fontId="0" fillId="0" borderId="0" xfId="0"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15" fillId="0" borderId="1" xfId="0" applyFont="1" applyBorder="1" applyAlignment="1">
      <alignment horizontal="left" vertical="center" indent="1"/>
    </xf>
    <xf numFmtId="0" fontId="0" fillId="0" borderId="0" xfId="0" applyAlignment="1" applyProtection="1">
      <alignment horizontal="left" vertical="center" indent="1"/>
      <protection/>
    </xf>
    <xf numFmtId="0" fontId="18" fillId="0" borderId="1" xfId="0" applyFont="1" applyFill="1" applyBorder="1" applyAlignment="1">
      <alignment horizontal="left" vertical="center" indent="1"/>
    </xf>
    <xf numFmtId="0" fontId="2" fillId="0" borderId="0" xfId="0" applyFont="1" applyFill="1" applyBorder="1" applyAlignment="1" applyProtection="1">
      <alignment horizontal="left" vertical="center" indent="1"/>
      <protection/>
    </xf>
    <xf numFmtId="168" fontId="0" fillId="4" borderId="1" xfId="0" applyNumberFormat="1" applyFill="1" applyBorder="1" applyAlignment="1">
      <alignment horizontal="center" vertical="center"/>
    </xf>
    <xf numFmtId="0" fontId="0" fillId="3" borderId="1" xfId="0" applyFill="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6" borderId="1" xfId="0" applyFill="1" applyBorder="1" applyAlignment="1" applyProtection="1">
      <alignment horizontal="center" vertical="center"/>
      <protection/>
    </xf>
    <xf numFmtId="168" fontId="0" fillId="6" borderId="1" xfId="0" applyNumberFormat="1" applyFill="1" applyBorder="1" applyAlignment="1" applyProtection="1">
      <alignment horizontal="center" vertical="center"/>
      <protection/>
    </xf>
    <xf numFmtId="168" fontId="2" fillId="5" borderId="1" xfId="0" applyNumberFormat="1" applyFont="1" applyFill="1" applyBorder="1" applyAlignment="1">
      <alignment horizontal="center" vertical="center"/>
    </xf>
    <xf numFmtId="168" fontId="2" fillId="5" borderId="1" xfId="0" applyNumberFormat="1" applyFont="1" applyFill="1" applyBorder="1" applyAlignment="1" applyProtection="1">
      <alignment horizontal="center" vertical="center"/>
      <protection/>
    </xf>
    <xf numFmtId="0" fontId="0" fillId="0" borderId="3" xfId="0" applyFill="1" applyBorder="1" applyAlignment="1">
      <alignment horizontal="left" vertical="center" indent="1"/>
    </xf>
    <xf numFmtId="0" fontId="0" fillId="0" borderId="1" xfId="0" applyFill="1" applyBorder="1" applyAlignment="1">
      <alignment horizontal="center"/>
    </xf>
    <xf numFmtId="0" fontId="15" fillId="0" borderId="1" xfId="0" applyFont="1" applyFill="1" applyBorder="1" applyAlignment="1">
      <alignment horizontal="center"/>
    </xf>
    <xf numFmtId="0" fontId="0" fillId="0" borderId="1" xfId="0" applyFill="1" applyBorder="1" applyAlignment="1">
      <alignment horizontal="left" vertical="center" wrapText="1" indent="1"/>
    </xf>
    <xf numFmtId="1" fontId="0" fillId="4"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169" fontId="0" fillId="4" borderId="1" xfId="0" applyNumberFormat="1" applyFill="1" applyBorder="1" applyAlignment="1">
      <alignment horizontal="center" vertical="center"/>
    </xf>
    <xf numFmtId="1" fontId="0" fillId="6" borderId="1" xfId="0" applyNumberFormat="1" applyFill="1" applyBorder="1" applyAlignment="1" applyProtection="1">
      <alignment horizontal="center" vertical="center"/>
      <protection locked="0"/>
    </xf>
    <xf numFmtId="2" fontId="0" fillId="4" borderId="3" xfId="0" applyNumberFormat="1" applyFill="1" applyBorder="1" applyAlignment="1">
      <alignment horizontal="center" vertical="center"/>
    </xf>
    <xf numFmtId="170"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0" fontId="15" fillId="0" borderId="3" xfId="0" applyFont="1" applyFill="1" applyBorder="1" applyAlignment="1">
      <alignment horizontal="center"/>
    </xf>
    <xf numFmtId="0" fontId="15" fillId="0" borderId="3" xfId="0" applyFont="1" applyFill="1" applyBorder="1" applyAlignment="1">
      <alignment horizontal="left" vertical="center" indent="1"/>
    </xf>
    <xf numFmtId="0" fontId="15"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4" fillId="8" borderId="8" xfId="0" applyFont="1" applyFill="1" applyBorder="1" applyAlignment="1">
      <alignment horizontal="left" vertical="center" wrapText="1" indent="1"/>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indent="1"/>
    </xf>
    <xf numFmtId="0" fontId="4" fillId="0" borderId="9" xfId="0" applyFont="1" applyFill="1" applyBorder="1" applyAlignment="1">
      <alignment horizontal="center" vertical="center" wrapText="1"/>
    </xf>
    <xf numFmtId="0" fontId="4" fillId="6" borderId="5" xfId="0" applyFont="1" applyFill="1" applyBorder="1" applyAlignment="1" applyProtection="1">
      <alignment horizontal="left" vertical="center" wrapText="1"/>
      <protection locked="0"/>
    </xf>
    <xf numFmtId="2" fontId="0" fillId="8" borderId="1" xfId="0" applyNumberFormat="1" applyFill="1" applyBorder="1" applyAlignment="1" applyProtection="1">
      <alignment horizontal="center" vertical="center"/>
      <protection/>
    </xf>
    <xf numFmtId="0" fontId="0" fillId="8" borderId="1" xfId="0" applyFill="1" applyBorder="1" applyAlignment="1" applyProtection="1">
      <alignment horizontal="center" vertical="center"/>
      <protection/>
    </xf>
    <xf numFmtId="2" fontId="4" fillId="4" borderId="6" xfId="0" applyNumberFormat="1"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10" xfId="0" applyFont="1" applyFill="1" applyBorder="1" applyAlignment="1">
      <alignment horizontal="right" vertical="center" wrapText="1"/>
    </xf>
    <xf numFmtId="0" fontId="4" fillId="4" borderId="11"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8" borderId="9"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indent="1"/>
    </xf>
    <xf numFmtId="0" fontId="0" fillId="0" borderId="0" xfId="0" applyFill="1" applyAlignment="1">
      <alignment horizontal="center" vertical="center"/>
    </xf>
    <xf numFmtId="0" fontId="0" fillId="6" borderId="1" xfId="0" applyFont="1" applyFill="1" applyBorder="1" applyAlignment="1" applyProtection="1">
      <alignment horizontal="center" vertical="center"/>
      <protection locked="0"/>
    </xf>
    <xf numFmtId="0" fontId="0" fillId="0" borderId="1" xfId="0" applyFont="1" applyFill="1" applyBorder="1" applyAlignment="1">
      <alignment horizontal="left" vertical="center" indent="1"/>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xf>
    <xf numFmtId="2" fontId="0" fillId="6" borderId="1" xfId="0" applyNumberFormat="1" applyFill="1" applyBorder="1" applyAlignment="1" applyProtection="1">
      <alignment horizontal="center" vertical="center"/>
      <protection locked="0"/>
    </xf>
    <xf numFmtId="2" fontId="0" fillId="6" borderId="1" xfId="0" applyNumberFormat="1" applyFont="1" applyFill="1" applyBorder="1" applyAlignment="1" applyProtection="1">
      <alignment horizontal="center" vertical="center"/>
      <protection locked="0"/>
    </xf>
    <xf numFmtId="1" fontId="0" fillId="4" borderId="1" xfId="0" applyNumberFormat="1" applyFont="1" applyFill="1" applyBorder="1" applyAlignment="1">
      <alignment horizontal="center" vertical="center"/>
    </xf>
    <xf numFmtId="2" fontId="0" fillId="4" borderId="1" xfId="0" applyNumberFormat="1" applyFont="1" applyFill="1" applyBorder="1" applyAlignment="1">
      <alignment horizontal="center" vertical="center"/>
    </xf>
    <xf numFmtId="2" fontId="0" fillId="4" borderId="7" xfId="0" applyNumberFormat="1" applyFont="1" applyFill="1" applyBorder="1" applyAlignment="1">
      <alignment horizontal="center" vertical="center"/>
    </xf>
    <xf numFmtId="169" fontId="0" fillId="4" borderId="1" xfId="0" applyNumberFormat="1" applyFont="1" applyFill="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14" fillId="0" borderId="1" xfId="0" applyFont="1" applyBorder="1" applyAlignment="1">
      <alignment horizontal="left" vertical="center" wrapText="1" indent="1"/>
    </xf>
    <xf numFmtId="2" fontId="4" fillId="4" borderId="1" xfId="0" applyNumberFormat="1" applyFont="1" applyFill="1" applyBorder="1" applyAlignment="1">
      <alignment horizontal="center" vertical="center" wrapText="1"/>
    </xf>
    <xf numFmtId="2" fontId="0" fillId="4" borderId="6" xfId="0" applyNumberFormat="1" applyFill="1" applyBorder="1" applyAlignment="1">
      <alignment horizontal="left" vertical="center"/>
    </xf>
    <xf numFmtId="2" fontId="0" fillId="0" borderId="1" xfId="0" applyNumberFormat="1" applyBorder="1" applyAlignment="1">
      <alignment horizontal="center" vertical="center"/>
    </xf>
    <xf numFmtId="0" fontId="2" fillId="2"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pplyProtection="1">
      <alignment horizontal="center" vertical="center"/>
      <protection locked="0"/>
    </xf>
    <xf numFmtId="4" fontId="0" fillId="6" borderId="1" xfId="0" applyNumberFormat="1" applyFont="1" applyFill="1" applyBorder="1" applyAlignment="1" applyProtection="1">
      <alignment horizontal="center" vertical="center"/>
      <protection locked="0"/>
    </xf>
    <xf numFmtId="168" fontId="0" fillId="6" borderId="1" xfId="0" applyNumberFormat="1" applyFont="1" applyFill="1" applyBorder="1" applyAlignment="1" applyProtection="1">
      <alignment horizontal="center" vertical="center"/>
      <protection locked="0"/>
    </xf>
    <xf numFmtId="0" fontId="0" fillId="8" borderId="1" xfId="0" applyFill="1" applyBorder="1" applyAlignment="1">
      <alignment horizontal="center" vertical="center"/>
    </xf>
    <xf numFmtId="169" fontId="0" fillId="4" borderId="1" xfId="0" applyNumberFormat="1" applyFill="1" applyBorder="1" applyAlignment="1">
      <alignment horizontal="center" vertical="center" wrapText="1"/>
    </xf>
    <xf numFmtId="0" fontId="44" fillId="2" borderId="1" xfId="0" applyFont="1" applyFill="1" applyBorder="1" applyAlignment="1">
      <alignment horizontal="center" vertical="center"/>
    </xf>
    <xf numFmtId="169" fontId="44" fillId="2" borderId="1" xfId="0" applyNumberFormat="1" applyFont="1" applyFill="1" applyBorder="1" applyAlignment="1">
      <alignment horizontal="center" vertical="center" wrapText="1"/>
    </xf>
    <xf numFmtId="0" fontId="15" fillId="8" borderId="1" xfId="0" applyFont="1" applyFill="1" applyBorder="1" applyAlignment="1">
      <alignment horizontal="center" vertical="center"/>
    </xf>
    <xf numFmtId="0" fontId="4" fillId="8" borderId="2" xfId="0" applyFont="1" applyFill="1" applyBorder="1" applyAlignment="1">
      <alignment horizontal="center" vertical="center" wrapText="1"/>
    </xf>
    <xf numFmtId="4" fontId="0" fillId="6" borderId="1" xfId="0" applyNumberFormat="1" applyFill="1" applyBorder="1" applyAlignment="1" applyProtection="1">
      <alignment horizontal="center" vertical="center"/>
      <protection locked="0"/>
    </xf>
    <xf numFmtId="4" fontId="0" fillId="6" borderId="1" xfId="0" applyNumberFormat="1" applyFill="1" applyBorder="1" applyAlignment="1" applyProtection="1">
      <alignment horizontal="center" vertical="center" wrapText="1"/>
      <protection locked="0"/>
    </xf>
    <xf numFmtId="0" fontId="0" fillId="0" borderId="0" xfId="0" applyBorder="1" applyAlignment="1">
      <alignment horizontal="left" vertical="center" indent="1"/>
    </xf>
    <xf numFmtId="0" fontId="26" fillId="7" borderId="0" xfId="0" applyFont="1" applyFill="1" applyAlignment="1">
      <alignment horizontal="left" vertical="center"/>
    </xf>
    <xf numFmtId="0" fontId="0" fillId="0" borderId="0" xfId="0" applyAlignment="1">
      <alignment horizontal="left" vertical="center"/>
    </xf>
    <xf numFmtId="2" fontId="0" fillId="3" borderId="1" xfId="0" applyNumberFormat="1" applyFill="1" applyBorder="1" applyAlignment="1">
      <alignment horizontal="center" vertical="center"/>
    </xf>
    <xf numFmtId="168"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0" fontId="0" fillId="0" borderId="1" xfId="0" applyBorder="1" applyAlignment="1">
      <alignment horizontal="left" vertical="center" wrapText="1" indent="1"/>
    </xf>
    <xf numFmtId="0" fontId="40" fillId="0" borderId="0" xfId="0" applyFont="1" applyFill="1" applyAlignment="1">
      <alignment horizontal="left" vertical="center"/>
    </xf>
    <xf numFmtId="0" fontId="30" fillId="0" borderId="0" xfId="0" applyFont="1" applyFill="1" applyAlignment="1">
      <alignment horizontal="left" vertical="center" indent="1"/>
    </xf>
    <xf numFmtId="0" fontId="9" fillId="0" borderId="0" xfId="0" applyFont="1" applyFill="1" applyAlignment="1">
      <alignment/>
    </xf>
    <xf numFmtId="0" fontId="2" fillId="0" borderId="0" xfId="0" applyFont="1" applyFill="1" applyBorder="1" applyAlignment="1">
      <alignment horizontal="center" vertical="center"/>
    </xf>
    <xf numFmtId="0" fontId="4" fillId="0" borderId="1" xfId="0" applyFont="1" applyBorder="1" applyAlignment="1">
      <alignment horizontal="left" vertical="center" wrapText="1" indent="1"/>
    </xf>
    <xf numFmtId="0" fontId="31" fillId="6" borderId="5" xfId="0" applyFont="1" applyFill="1" applyBorder="1" applyAlignment="1" applyProtection="1">
      <alignment horizontal="left" vertical="center" wrapText="1"/>
      <protection locked="0"/>
    </xf>
    <xf numFmtId="0" fontId="26" fillId="7" borderId="0" xfId="0" applyFont="1" applyFill="1" applyAlignment="1">
      <alignment horizontal="left" vertical="center" wrapText="1"/>
    </xf>
    <xf numFmtId="0" fontId="0" fillId="0" borderId="1" xfId="0" applyBorder="1" applyAlignment="1">
      <alignment/>
    </xf>
    <xf numFmtId="1" fontId="0" fillId="4" borderId="1" xfId="0" applyNumberFormat="1" applyFill="1" applyBorder="1" applyAlignment="1">
      <alignment horizontal="center" vertical="center" wrapText="1"/>
    </xf>
    <xf numFmtId="0" fontId="0" fillId="6" borderId="1" xfId="0" applyFill="1" applyBorder="1" applyAlignment="1" applyProtection="1">
      <alignment horizontal="center"/>
      <protection locked="0"/>
    </xf>
    <xf numFmtId="0" fontId="28" fillId="7" borderId="9" xfId="0" applyFont="1" applyFill="1" applyBorder="1" applyAlignment="1">
      <alignment horizontal="left" vertical="center" indent="1"/>
    </xf>
    <xf numFmtId="0" fontId="30" fillId="7" borderId="9" xfId="0" applyFont="1" applyFill="1" applyBorder="1" applyAlignment="1">
      <alignment horizontal="left" vertical="center" indent="1"/>
    </xf>
    <xf numFmtId="0" fontId="4" fillId="8" borderId="4" xfId="0" applyFont="1" applyFill="1" applyBorder="1" applyAlignment="1">
      <alignment horizontal="right" vertical="center" wrapText="1"/>
    </xf>
    <xf numFmtId="169" fontId="0" fillId="0" borderId="0" xfId="0" applyNumberFormat="1" applyAlignment="1">
      <alignment/>
    </xf>
    <xf numFmtId="169" fontId="0" fillId="0" borderId="0" xfId="0" applyNumberFormat="1" applyAlignment="1">
      <alignment horizontal="center" vertical="center"/>
    </xf>
    <xf numFmtId="169" fontId="0" fillId="3" borderId="1" xfId="0" applyNumberFormat="1" applyFill="1" applyBorder="1" applyAlignment="1">
      <alignment horizontal="center" vertical="center"/>
    </xf>
    <xf numFmtId="0" fontId="30" fillId="7" borderId="0" xfId="0" applyFont="1" applyFill="1" applyAlignment="1">
      <alignment horizontal="left" vertical="center" indent="1"/>
    </xf>
    <xf numFmtId="0" fontId="0" fillId="0" borderId="1" xfId="0" applyBorder="1" applyAlignment="1">
      <alignment wrapText="1"/>
    </xf>
    <xf numFmtId="0" fontId="2" fillId="0" borderId="8" xfId="0" applyFont="1" applyFill="1" applyBorder="1" applyAlignment="1">
      <alignment horizontal="center" vertical="center"/>
    </xf>
    <xf numFmtId="1" fontId="0" fillId="3" borderId="6" xfId="0" applyNumberFormat="1" applyFill="1" applyBorder="1" applyAlignment="1">
      <alignment horizontal="center" vertical="center"/>
    </xf>
    <xf numFmtId="1" fontId="0" fillId="4" borderId="6" xfId="0" applyNumberFormat="1" applyFill="1" applyBorder="1" applyAlignment="1">
      <alignment horizontal="center" vertical="center"/>
    </xf>
    <xf numFmtId="1" fontId="0" fillId="0" borderId="0" xfId="0" applyNumberFormat="1" applyFill="1" applyAlignment="1">
      <alignment horizontal="center" vertical="center"/>
    </xf>
    <xf numFmtId="0" fontId="30" fillId="7" borderId="4" xfId="0" applyFont="1" applyFill="1" applyBorder="1" applyAlignment="1">
      <alignment horizontal="left" vertical="center"/>
    </xf>
    <xf numFmtId="1" fontId="0" fillId="3" borderId="4" xfId="0" applyNumberFormat="1" applyFill="1" applyBorder="1" applyAlignment="1">
      <alignment horizontal="center" vertical="center"/>
    </xf>
    <xf numFmtId="1" fontId="0" fillId="4" borderId="4" xfId="0" applyNumberFormat="1" applyFill="1" applyBorder="1" applyAlignment="1">
      <alignment horizontal="center" vertical="center"/>
    </xf>
    <xf numFmtId="1" fontId="21" fillId="0" borderId="8" xfId="0" applyNumberFormat="1" applyFont="1" applyFill="1" applyBorder="1" applyAlignment="1">
      <alignment horizontal="center" vertical="center" wrapText="1"/>
    </xf>
    <xf numFmtId="1" fontId="0" fillId="0" borderId="8" xfId="0" applyNumberFormat="1" applyFill="1" applyBorder="1" applyAlignment="1">
      <alignment horizontal="center" vertical="center"/>
    </xf>
    <xf numFmtId="0" fontId="30" fillId="0" borderId="8" xfId="0" applyFont="1" applyFill="1" applyBorder="1" applyAlignment="1">
      <alignment horizontal="left" vertical="center"/>
    </xf>
    <xf numFmtId="168" fontId="2" fillId="4" borderId="1" xfId="0" applyNumberFormat="1" applyFont="1" applyFill="1" applyBorder="1" applyAlignment="1">
      <alignment horizontal="center" vertical="center" wrapText="1"/>
    </xf>
    <xf numFmtId="0" fontId="0" fillId="8" borderId="1" xfId="0" applyFill="1" applyBorder="1" applyAlignment="1">
      <alignment horizontal="left" vertical="center" indent="1"/>
    </xf>
    <xf numFmtId="0" fontId="0"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10" fillId="0" borderId="0" xfId="0" applyFont="1" applyAlignment="1">
      <alignment horizontal="left" vertical="center"/>
    </xf>
    <xf numFmtId="0" fontId="0" fillId="0" borderId="1" xfId="0" applyFont="1" applyBorder="1" applyAlignment="1">
      <alignment horizontal="left" vertical="center" wrapText="1"/>
    </xf>
    <xf numFmtId="0" fontId="2" fillId="0" borderId="1" xfId="0" applyFont="1" applyBorder="1" applyAlignment="1">
      <alignment horizontal="left" vertical="center" wrapText="1" indent="1"/>
    </xf>
    <xf numFmtId="0" fontId="15" fillId="0" borderId="1" xfId="0" applyFont="1" applyBorder="1" applyAlignment="1">
      <alignment horizontal="left" vertical="center" wrapText="1"/>
    </xf>
    <xf numFmtId="0" fontId="15" fillId="0" borderId="1" xfId="0" applyFont="1" applyBorder="1" applyAlignment="1">
      <alignment horizontal="right" vertical="center" wrapText="1" indent="2"/>
    </xf>
    <xf numFmtId="0" fontId="18" fillId="0" borderId="1" xfId="0" applyFont="1" applyBorder="1" applyAlignment="1">
      <alignment horizontal="right" vertical="center" wrapText="1" indent="2"/>
    </xf>
    <xf numFmtId="0" fontId="0" fillId="0" borderId="1" xfId="0" applyFont="1" applyBorder="1" applyAlignment="1" applyProtection="1">
      <alignment horizontal="left" vertical="center" wrapText="1" indent="1"/>
      <protection/>
    </xf>
    <xf numFmtId="0" fontId="0" fillId="0" borderId="1" xfId="0" applyBorder="1" applyAlignment="1" applyProtection="1">
      <alignment horizontal="left" vertical="center" indent="1"/>
      <protection/>
    </xf>
    <xf numFmtId="0" fontId="2" fillId="2" borderId="1" xfId="0" applyFont="1" applyFill="1" applyBorder="1" applyAlignment="1" applyProtection="1">
      <alignment horizontal="center" vertical="center"/>
      <protection/>
    </xf>
    <xf numFmtId="0" fontId="0" fillId="0" borderId="1" xfId="0" applyBorder="1" applyAlignment="1" applyProtection="1">
      <alignment horizontal="left" vertical="center" wrapText="1" indent="1"/>
      <protection/>
    </xf>
    <xf numFmtId="0" fontId="0" fillId="0" borderId="1" xfId="0" applyFill="1" applyBorder="1" applyAlignment="1" applyProtection="1">
      <alignment horizontal="left" vertical="center" indent="1"/>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center" vertical="top" wrapText="1"/>
      <protection/>
    </xf>
    <xf numFmtId="0" fontId="0" fillId="0" borderId="1" xfId="0" applyFont="1" applyBorder="1" applyAlignment="1" applyProtection="1">
      <alignment horizontal="center" vertical="center" wrapText="1"/>
      <protection/>
    </xf>
    <xf numFmtId="0" fontId="0" fillId="0" borderId="0" xfId="0" applyAlignment="1" applyProtection="1">
      <alignment horizontal="left"/>
      <protection/>
    </xf>
    <xf numFmtId="0" fontId="0" fillId="0" borderId="0" xfId="0" applyAlignment="1" applyProtection="1">
      <alignment/>
      <protection/>
    </xf>
    <xf numFmtId="0" fontId="0" fillId="0" borderId="1" xfId="0" applyBorder="1" applyAlignment="1" applyProtection="1">
      <alignment horizontal="left" vertical="top" wrapText="1" indent="1"/>
      <protection/>
    </xf>
    <xf numFmtId="0" fontId="0" fillId="0" borderId="1" xfId="0" applyFont="1" applyBorder="1" applyAlignment="1" applyProtection="1">
      <alignment horizontal="left" vertical="top" wrapText="1" indent="1"/>
      <protection/>
    </xf>
    <xf numFmtId="0" fontId="0" fillId="0" borderId="0" xfId="0" applyFont="1" applyAlignment="1" applyProtection="1">
      <alignment horizontal="left" wrapText="1"/>
      <protection/>
    </xf>
    <xf numFmtId="0" fontId="0" fillId="0" borderId="0" xfId="0" applyFill="1" applyBorder="1" applyAlignment="1">
      <alignment/>
    </xf>
    <xf numFmtId="0" fontId="0" fillId="0" borderId="0" xfId="0" applyFill="1" applyBorder="1" applyAlignment="1">
      <alignment horizontal="left" vertical="center"/>
    </xf>
    <xf numFmtId="2" fontId="0" fillId="4" borderId="6" xfId="0" applyNumberFormat="1" applyFill="1" applyBorder="1" applyAlignment="1">
      <alignment horizontal="center" vertical="center"/>
    </xf>
    <xf numFmtId="0" fontId="4" fillId="0" borderId="1" xfId="0" applyFont="1" applyFill="1" applyBorder="1" applyAlignment="1">
      <alignment horizontal="left" vertical="center" indent="1"/>
    </xf>
    <xf numFmtId="0" fontId="0" fillId="0" borderId="8" xfId="0" applyFill="1" applyBorder="1" applyAlignment="1">
      <alignment horizontal="left" vertical="center" indent="1"/>
    </xf>
    <xf numFmtId="0" fontId="0" fillId="0" borderId="8" xfId="0" applyBorder="1" applyAlignment="1">
      <alignment horizontal="left" vertical="center" indent="1"/>
    </xf>
    <xf numFmtId="0" fontId="7" fillId="0" borderId="1" xfId="0" applyFont="1" applyFill="1" applyBorder="1" applyAlignment="1">
      <alignment horizontal="center" vertical="center"/>
    </xf>
    <xf numFmtId="0" fontId="0" fillId="0" borderId="1" xfId="0" applyFont="1" applyFill="1" applyBorder="1" applyAlignment="1">
      <alignment horizontal="left" vertical="center" indent="1"/>
    </xf>
    <xf numFmtId="0" fontId="0" fillId="0" borderId="5" xfId="0" applyBorder="1" applyAlignment="1" applyProtection="1">
      <alignment horizontal="left" vertical="top" wrapText="1" indent="1"/>
      <protection/>
    </xf>
    <xf numFmtId="0" fontId="0" fillId="0" borderId="6" xfId="0" applyBorder="1" applyAlignment="1" applyProtection="1">
      <alignment horizontal="left" vertical="top" wrapText="1" indent="1"/>
      <protection/>
    </xf>
    <xf numFmtId="0" fontId="0" fillId="0" borderId="12" xfId="0" applyFont="1" applyBorder="1" applyAlignment="1" applyProtection="1">
      <alignment horizontal="left" wrapText="1"/>
      <protection/>
    </xf>
    <xf numFmtId="0" fontId="26" fillId="7" borderId="4" xfId="0" applyFont="1" applyFill="1" applyBorder="1" applyAlignment="1" applyProtection="1">
      <alignment horizontal="left" wrapText="1" indent="1"/>
      <protection/>
    </xf>
    <xf numFmtId="0" fontId="26" fillId="7" borderId="5" xfId="0" applyFont="1" applyFill="1" applyBorder="1" applyAlignment="1" applyProtection="1">
      <alignment horizontal="left" wrapText="1" indent="1"/>
      <protection/>
    </xf>
    <xf numFmtId="0" fontId="26" fillId="7" borderId="6" xfId="0" applyFont="1" applyFill="1" applyBorder="1" applyAlignment="1" applyProtection="1">
      <alignment horizontal="left" wrapText="1" indent="1"/>
      <protection/>
    </xf>
    <xf numFmtId="0" fontId="26" fillId="7" borderId="0" xfId="0" applyFont="1" applyFill="1" applyAlignment="1">
      <alignment horizontal="left" vertical="center"/>
    </xf>
    <xf numFmtId="0" fontId="4" fillId="0" borderId="4" xfId="0" applyFont="1" applyFill="1" applyBorder="1" applyAlignment="1">
      <alignment horizontal="right" vertical="center" wrapText="1"/>
    </xf>
    <xf numFmtId="2" fontId="0" fillId="4" borderId="6" xfId="0" applyNumberFormat="1" applyFill="1" applyBorder="1" applyAlignment="1">
      <alignment horizontal="left"/>
    </xf>
    <xf numFmtId="2" fontId="0" fillId="4" borderId="1" xfId="0" applyNumberFormat="1" applyFill="1" applyBorder="1" applyAlignment="1">
      <alignment horizontal="center"/>
    </xf>
    <xf numFmtId="0" fontId="26" fillId="7" borderId="1" xfId="0" applyFont="1" applyFill="1" applyBorder="1" applyAlignment="1" applyProtection="1">
      <alignment horizontal="left" vertical="center" indent="1"/>
      <protection/>
    </xf>
    <xf numFmtId="0" fontId="0" fillId="0" borderId="4" xfId="0" applyFont="1" applyBorder="1" applyAlignment="1" applyProtection="1">
      <alignment horizontal="left" vertical="top" wrapText="1" indent="1"/>
      <protection/>
    </xf>
    <xf numFmtId="0" fontId="26" fillId="7" borderId="6" xfId="0" applyFont="1" applyFill="1" applyBorder="1" applyAlignment="1" applyProtection="1">
      <alignment horizontal="left" vertical="center" indent="1"/>
      <protection/>
    </xf>
    <xf numFmtId="0" fontId="26" fillId="7" borderId="13" xfId="0" applyFont="1" applyFill="1" applyBorder="1" applyAlignment="1" applyProtection="1">
      <alignment horizontal="left" indent="1"/>
      <protection/>
    </xf>
    <xf numFmtId="0" fontId="26" fillId="7" borderId="14" xfId="0" applyFont="1" applyFill="1" applyBorder="1" applyAlignment="1" applyProtection="1">
      <alignment horizontal="left" indent="1"/>
      <protection/>
    </xf>
    <xf numFmtId="0" fontId="26" fillId="7" borderId="15" xfId="0" applyFont="1" applyFill="1" applyBorder="1" applyAlignment="1" applyProtection="1">
      <alignment horizontal="left" indent="1"/>
      <protection/>
    </xf>
    <xf numFmtId="0" fontId="26" fillId="7" borderId="5" xfId="0" applyFont="1" applyFill="1" applyBorder="1" applyAlignment="1" applyProtection="1">
      <alignment horizontal="left" vertical="center" wrapText="1" indent="1"/>
      <protection/>
    </xf>
    <xf numFmtId="0" fontId="26" fillId="7" borderId="6" xfId="0" applyFont="1" applyFill="1" applyBorder="1" applyAlignment="1" applyProtection="1">
      <alignment horizontal="left" vertical="center" wrapText="1" indent="1"/>
      <protection/>
    </xf>
    <xf numFmtId="0" fontId="0" fillId="0" borderId="12" xfId="0" applyBorder="1" applyAlignment="1" applyProtection="1">
      <alignment/>
      <protection/>
    </xf>
    <xf numFmtId="0" fontId="0" fillId="0" borderId="0" xfId="0" applyAlignment="1">
      <alignment horizontal="center" vertical="center"/>
    </xf>
    <xf numFmtId="0" fontId="0" fillId="0" borderId="0" xfId="0" applyAlignment="1" applyProtection="1">
      <alignment horizontal="left" vertical="center" indent="1"/>
      <protection/>
    </xf>
    <xf numFmtId="0" fontId="0" fillId="0" borderId="12" xfId="0" applyBorder="1" applyAlignment="1" applyProtection="1">
      <alignment horizontal="left" vertical="center" indent="1"/>
      <protection/>
    </xf>
    <xf numFmtId="0" fontId="2" fillId="2" borderId="1" xfId="0" applyFont="1" applyFill="1" applyBorder="1" applyAlignment="1" applyProtection="1">
      <alignment horizontal="center" vertical="center"/>
      <protection/>
    </xf>
    <xf numFmtId="0" fontId="26" fillId="7" borderId="4" xfId="0" applyFont="1" applyFill="1" applyBorder="1" applyAlignment="1" applyProtection="1">
      <alignment horizontal="left" vertical="center" indent="1"/>
      <protection/>
    </xf>
    <xf numFmtId="0" fontId="26" fillId="7" borderId="5" xfId="0" applyFont="1" applyFill="1" applyBorder="1" applyAlignment="1" applyProtection="1">
      <alignment horizontal="left" vertical="center" indent="1"/>
      <protection/>
    </xf>
    <xf numFmtId="0" fontId="0" fillId="0" borderId="12" xfId="0" applyFont="1" applyBorder="1" applyAlignment="1" applyProtection="1">
      <alignment horizontal="left" vertical="center" wrapText="1" indent="1"/>
      <protection/>
    </xf>
    <xf numFmtId="0" fontId="0" fillId="0" borderId="12" xfId="0" applyBorder="1" applyAlignment="1" applyProtection="1">
      <alignment horizontal="left" vertical="center" wrapText="1" indent="1"/>
      <protection/>
    </xf>
    <xf numFmtId="0" fontId="0" fillId="0" borderId="1" xfId="0" applyBorder="1" applyAlignment="1" applyProtection="1">
      <alignment horizontal="left" vertical="center" indent="1"/>
      <protection/>
    </xf>
    <xf numFmtId="0" fontId="0" fillId="0" borderId="10" xfId="0" applyFont="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26" fillId="7" borderId="4" xfId="0" applyFont="1" applyFill="1" applyBorder="1" applyAlignment="1" applyProtection="1">
      <alignment horizontal="left" vertical="center" wrapText="1" indent="1"/>
      <protection/>
    </xf>
    <xf numFmtId="0" fontId="0" fillId="2" borderId="1" xfId="0" applyFill="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0" fillId="6" borderId="1" xfId="0"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0" fillId="5" borderId="1" xfId="0" applyFill="1" applyBorder="1" applyAlignment="1" applyProtection="1">
      <alignment horizontal="center" vertical="center"/>
      <protection/>
    </xf>
    <xf numFmtId="0" fontId="0" fillId="0" borderId="5" xfId="0" applyBorder="1" applyAlignment="1" applyProtection="1">
      <alignment horizontal="left" vertical="center" indent="1"/>
      <protection/>
    </xf>
    <xf numFmtId="0" fontId="0" fillId="0" borderId="6" xfId="0" applyBorder="1" applyAlignment="1" applyProtection="1">
      <alignment horizontal="left" vertical="center" indent="1"/>
      <protection/>
    </xf>
    <xf numFmtId="0" fontId="0" fillId="0" borderId="12" xfId="0" applyBorder="1" applyAlignment="1" applyProtection="1">
      <alignment horizontal="center" vertical="center"/>
      <protection/>
    </xf>
    <xf numFmtId="0" fontId="26" fillId="7" borderId="0" xfId="0" applyFont="1" applyFill="1" applyBorder="1" applyAlignment="1" applyProtection="1">
      <alignment horizontal="left" vertical="center" wrapText="1" indent="1"/>
      <protection/>
    </xf>
    <xf numFmtId="0" fontId="26" fillId="7" borderId="0" xfId="0" applyFont="1" applyFill="1" applyAlignment="1" applyProtection="1">
      <alignment horizontal="left" vertical="center" indent="1"/>
      <protection/>
    </xf>
    <xf numFmtId="0" fontId="0" fillId="0" borderId="12" xfId="0" applyBorder="1" applyAlignment="1" applyProtection="1">
      <alignment horizontal="left"/>
      <protection/>
    </xf>
    <xf numFmtId="0" fontId="0" fillId="0" borderId="1" xfId="0" applyBorder="1" applyAlignment="1" applyProtection="1">
      <alignment horizontal="left" vertical="center" wrapText="1" indent="1"/>
      <protection/>
    </xf>
    <xf numFmtId="0" fontId="0" fillId="0" borderId="1" xfId="0" applyFont="1" applyBorder="1" applyAlignment="1" applyProtection="1">
      <alignment horizontal="left" vertical="center" wrapText="1" indent="1"/>
      <protection/>
    </xf>
    <xf numFmtId="0" fontId="0" fillId="0" borderId="4" xfId="0" applyBorder="1" applyAlignment="1" applyProtection="1">
      <alignment horizontal="left" vertical="center" wrapText="1" indent="1"/>
      <protection/>
    </xf>
    <xf numFmtId="0" fontId="0" fillId="0" borderId="4" xfId="0" applyFont="1" applyBorder="1" applyAlignment="1" applyProtection="1">
      <alignment horizontal="left" vertical="center" wrapText="1" indent="1"/>
      <protection/>
    </xf>
    <xf numFmtId="0" fontId="0" fillId="0" borderId="5"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2" fillId="2" borderId="1" xfId="0" applyFont="1" applyFill="1" applyBorder="1" applyAlignment="1" applyProtection="1">
      <alignment horizontal="center" vertical="center" wrapText="1"/>
      <protection/>
    </xf>
    <xf numFmtId="0" fontId="40" fillId="7" borderId="0" xfId="0" applyFont="1" applyFill="1" applyAlignment="1">
      <alignment horizontal="left" vertical="center"/>
    </xf>
    <xf numFmtId="0" fontId="26" fillId="7" borderId="1" xfId="0" applyFont="1" applyFill="1" applyBorder="1" applyAlignment="1">
      <alignment horizontal="left" vertical="center"/>
    </xf>
    <xf numFmtId="0" fontId="0" fillId="0" borderId="1" xfId="0" applyBorder="1" applyAlignment="1">
      <alignment horizontal="left" vertical="center"/>
    </xf>
    <xf numFmtId="0" fontId="26" fillId="7" borderId="1" xfId="0" applyFont="1" applyFill="1" applyBorder="1" applyAlignment="1">
      <alignment horizontal="left" vertical="center" wrapText="1"/>
    </xf>
    <xf numFmtId="0" fontId="0" fillId="0" borderId="1" xfId="0" applyBorder="1" applyAlignment="1">
      <alignment horizontal="left" vertical="center" wrapText="1"/>
    </xf>
    <xf numFmtId="0" fontId="26" fillId="7" borderId="0" xfId="0" applyFont="1" applyFill="1" applyAlignment="1">
      <alignment horizontal="left" vertical="center" wrapText="1"/>
    </xf>
    <xf numFmtId="0" fontId="40" fillId="7" borderId="0" xfId="0" applyFont="1" applyFill="1" applyAlignment="1">
      <alignment horizontal="left" vertical="center" wrapText="1"/>
    </xf>
    <xf numFmtId="0" fontId="31" fillId="2" borderId="2"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wrapText="1"/>
    </xf>
    <xf numFmtId="0" fontId="31" fillId="0" borderId="9" xfId="0" applyFont="1" applyFill="1" applyBorder="1" applyAlignment="1">
      <alignment horizontal="left" vertical="center" indent="1"/>
    </xf>
    <xf numFmtId="0" fontId="4" fillId="0" borderId="9" xfId="0" applyFont="1" applyFill="1" applyBorder="1" applyAlignment="1">
      <alignment horizontal="left" vertical="center" indent="1"/>
    </xf>
    <xf numFmtId="0" fontId="2" fillId="2" borderId="7" xfId="0" applyFont="1" applyFill="1" applyBorder="1" applyAlignment="1">
      <alignment horizontal="center" vertical="center" wrapText="1"/>
    </xf>
    <xf numFmtId="0" fontId="0" fillId="0" borderId="8" xfId="0" applyBorder="1" applyAlignment="1">
      <alignment horizontal="center"/>
    </xf>
    <xf numFmtId="0" fontId="0" fillId="0" borderId="3" xfId="0" applyBorder="1" applyAlignment="1">
      <alignment horizontal="center"/>
    </xf>
    <xf numFmtId="0" fontId="0" fillId="0" borderId="8" xfId="0" applyBorder="1" applyAlignment="1">
      <alignment horizontal="center" vertical="center"/>
    </xf>
    <xf numFmtId="0" fontId="0" fillId="0" borderId="3" xfId="0" applyBorder="1" applyAlignment="1">
      <alignment horizontal="center" vertical="center"/>
    </xf>
    <xf numFmtId="169" fontId="2" fillId="2" borderId="7"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xf>
    <xf numFmtId="0" fontId="2" fillId="2" borderId="1" xfId="0" applyFont="1" applyFill="1" applyBorder="1" applyAlignment="1">
      <alignment horizontal="center" vertical="center"/>
    </xf>
    <xf numFmtId="0" fontId="0" fillId="8" borderId="1" xfId="0" applyFill="1" applyBorder="1" applyAlignment="1">
      <alignment horizontal="left" vertical="center" indent="1"/>
    </xf>
    <xf numFmtId="0" fontId="0" fillId="0" borderId="1" xfId="0" applyBorder="1" applyAlignment="1">
      <alignment horizontal="left" vertical="center" indent="1"/>
    </xf>
    <xf numFmtId="2" fontId="21"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69" fontId="2" fillId="2" borderId="1" xfId="0" applyNumberFormat="1" applyFont="1" applyFill="1" applyBorder="1" applyAlignment="1">
      <alignment horizontal="center" vertical="center" wrapText="1"/>
    </xf>
    <xf numFmtId="2" fontId="0" fillId="3" borderId="1" xfId="0" applyNumberFormat="1" applyFont="1" applyFill="1" applyBorder="1" applyAlignment="1">
      <alignment horizontal="center" vertical="center" wrapText="1"/>
    </xf>
    <xf numFmtId="2" fontId="0" fillId="0" borderId="1" xfId="0" applyNumberFormat="1" applyBorder="1" applyAlignment="1">
      <alignment/>
    </xf>
    <xf numFmtId="0" fontId="28" fillId="7" borderId="9" xfId="0" applyFont="1" applyFill="1" applyBorder="1" applyAlignment="1">
      <alignment/>
    </xf>
    <xf numFmtId="0" fontId="30" fillId="7" borderId="9" xfId="0" applyFont="1" applyFill="1" applyBorder="1" applyAlignment="1">
      <alignment/>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xf>
    <xf numFmtId="0" fontId="2" fillId="2" borderId="1" xfId="0" applyFont="1" applyFill="1" applyBorder="1" applyAlignment="1">
      <alignment horizontal="center" vertical="center" wrapText="1"/>
    </xf>
    <xf numFmtId="0" fontId="2" fillId="0" borderId="1" xfId="0" applyFont="1" applyBorder="1" applyAlignment="1">
      <alignment/>
    </xf>
    <xf numFmtId="0" fontId="0" fillId="3" borderId="7" xfId="0" applyFont="1" applyFill="1" applyBorder="1" applyAlignment="1">
      <alignment horizontal="center" vertical="center" wrapText="1"/>
    </xf>
    <xf numFmtId="0" fontId="12" fillId="0" borderId="11" xfId="0" applyFont="1" applyFill="1" applyBorder="1" applyAlignment="1">
      <alignment horizontal="left" vertical="center" indent="1"/>
    </xf>
    <xf numFmtId="0" fontId="0" fillId="0" borderId="12" xfId="0" applyFill="1" applyBorder="1" applyAlignment="1">
      <alignment horizontal="left" vertical="center" indent="1"/>
    </xf>
    <xf numFmtId="0" fontId="0" fillId="0" borderId="12" xfId="0" applyBorder="1" applyAlignment="1">
      <alignment horizontal="left" vertical="center" indent="1"/>
    </xf>
    <xf numFmtId="0" fontId="0" fillId="0" borderId="16" xfId="0" applyBorder="1" applyAlignment="1">
      <alignment horizontal="left" vertical="center" indent="1"/>
    </xf>
    <xf numFmtId="0" fontId="0" fillId="0" borderId="3" xfId="0" applyBorder="1" applyAlignment="1">
      <alignment/>
    </xf>
    <xf numFmtId="0" fontId="12" fillId="0" borderId="1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0" xfId="0" applyBorder="1" applyAlignment="1">
      <alignment horizontal="left" vertical="center" indent="1"/>
    </xf>
    <xf numFmtId="0" fontId="0" fillId="0" borderId="17" xfId="0" applyBorder="1" applyAlignment="1">
      <alignment horizontal="left" vertical="center" indent="1"/>
    </xf>
    <xf numFmtId="0" fontId="12" fillId="0" borderId="18" xfId="0" applyFont="1" applyFill="1" applyBorder="1" applyAlignment="1">
      <alignment horizontal="left" vertical="center" indent="1"/>
    </xf>
    <xf numFmtId="0" fontId="0" fillId="0" borderId="9" xfId="0" applyFill="1" applyBorder="1" applyAlignment="1">
      <alignment horizontal="left" vertical="center" indent="1"/>
    </xf>
    <xf numFmtId="0" fontId="0" fillId="0" borderId="9" xfId="0" applyBorder="1" applyAlignment="1">
      <alignment horizontal="left" vertical="center" indent="1"/>
    </xf>
    <xf numFmtId="0" fontId="0" fillId="0" borderId="19" xfId="0" applyBorder="1" applyAlignment="1">
      <alignment horizontal="left" vertical="center" indent="1"/>
    </xf>
    <xf numFmtId="0" fontId="26" fillId="7" borderId="0" xfId="0" applyFont="1" applyFill="1" applyAlignment="1">
      <alignment/>
    </xf>
    <xf numFmtId="0" fontId="40" fillId="7" borderId="0" xfId="0" applyFont="1" applyFill="1" applyAlignment="1">
      <alignment/>
    </xf>
    <xf numFmtId="0" fontId="2" fillId="0" borderId="1" xfId="0" applyFont="1" applyBorder="1" applyAlignment="1">
      <alignment/>
    </xf>
    <xf numFmtId="0" fontId="44" fillId="2" borderId="1" xfId="0" applyFont="1" applyFill="1" applyBorder="1" applyAlignment="1">
      <alignment horizontal="center" vertical="center"/>
    </xf>
    <xf numFmtId="0" fontId="6"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6" fillId="0" borderId="23" xfId="0" applyFont="1" applyFill="1" applyBorder="1" applyAlignment="1">
      <alignment vertical="center"/>
    </xf>
    <xf numFmtId="0" fontId="0" fillId="0" borderId="0" xfId="0" applyFill="1" applyAlignment="1">
      <alignment vertical="center"/>
    </xf>
    <xf numFmtId="0" fontId="0" fillId="0" borderId="24" xfId="0" applyFill="1" applyBorder="1" applyAlignment="1">
      <alignment vertical="center"/>
    </xf>
    <xf numFmtId="0" fontId="6"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3" borderId="1" xfId="0" applyFont="1" applyFill="1" applyBorder="1" applyAlignment="1">
      <alignment horizontal="center" vertical="center" wrapText="1"/>
    </xf>
    <xf numFmtId="0" fontId="0" fillId="0" borderId="1" xfId="0" applyBorder="1" applyAlignment="1">
      <alignment/>
    </xf>
    <xf numFmtId="2" fontId="0" fillId="0" borderId="1" xfId="0" applyNumberFormat="1" applyBorder="1" applyAlignment="1">
      <alignment horizontal="center" vertical="center"/>
    </xf>
    <xf numFmtId="169" fontId="0"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0" fillId="8" borderId="29" xfId="0" applyFill="1" applyBorder="1" applyAlignment="1">
      <alignment horizontal="center" vertical="center" wrapText="1"/>
    </xf>
    <xf numFmtId="0" fontId="0" fillId="8" borderId="30" xfId="0" applyFill="1" applyBorder="1" applyAlignment="1">
      <alignment horizontal="center" vertical="center" wrapText="1"/>
    </xf>
    <xf numFmtId="169" fontId="0" fillId="3" borderId="1" xfId="0" applyNumberFormat="1" applyFill="1" applyBorder="1" applyAlignment="1">
      <alignment horizontal="center" vertical="center" wrapText="1"/>
    </xf>
    <xf numFmtId="0" fontId="4" fillId="8" borderId="2" xfId="0" applyFont="1" applyFill="1" applyBorder="1" applyAlignment="1">
      <alignment horizontal="center" vertical="center" wrapText="1"/>
    </xf>
    <xf numFmtId="0" fontId="28" fillId="7" borderId="21" xfId="0" applyFont="1" applyFill="1" applyBorder="1" applyAlignment="1">
      <alignment horizontal="left" vertical="center" wrapText="1" indent="1"/>
    </xf>
    <xf numFmtId="0" fontId="4" fillId="8" borderId="25"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6" xfId="0" applyBorder="1" applyAlignment="1">
      <alignment horizontal="left" vertical="center" wrapText="1" indent="1"/>
    </xf>
    <xf numFmtId="0" fontId="0" fillId="0" borderId="18" xfId="0" applyBorder="1" applyAlignment="1">
      <alignment horizontal="left" vertical="center" wrapText="1" indent="1"/>
    </xf>
    <xf numFmtId="0" fontId="0" fillId="0" borderId="9" xfId="0" applyBorder="1" applyAlignment="1">
      <alignment horizontal="left" vertical="center" wrapText="1" indent="1"/>
    </xf>
    <xf numFmtId="0" fontId="0" fillId="0" borderId="19" xfId="0" applyBorder="1" applyAlignment="1">
      <alignment horizontal="left" vertical="center" wrapText="1" indent="1"/>
    </xf>
    <xf numFmtId="0" fontId="28" fillId="7" borderId="1" xfId="0" applyFont="1" applyFill="1" applyBorder="1" applyAlignment="1">
      <alignment/>
    </xf>
    <xf numFmtId="0" fontId="0" fillId="8" borderId="1" xfId="0" applyFill="1" applyBorder="1" applyAlignment="1">
      <alignment horizontal="left" vertical="center" wrapText="1" indent="1"/>
    </xf>
    <xf numFmtId="0" fontId="0" fillId="0" borderId="1" xfId="0" applyBorder="1" applyAlignment="1">
      <alignment horizontal="left" vertical="center" wrapText="1" indent="1"/>
    </xf>
    <xf numFmtId="1" fontId="0" fillId="6" borderId="1" xfId="0" applyNumberFormat="1" applyFill="1" applyBorder="1" applyAlignment="1" applyProtection="1">
      <alignment horizontal="center" vertical="center"/>
      <protection locked="0"/>
    </xf>
    <xf numFmtId="0" fontId="0" fillId="0" borderId="1" xfId="0" applyBorder="1" applyAlignment="1" applyProtection="1">
      <alignment/>
      <protection locked="0"/>
    </xf>
    <xf numFmtId="0" fontId="0" fillId="8" borderId="1" xfId="0" applyFill="1" applyBorder="1" applyAlignment="1">
      <alignment horizontal="center" vertical="center"/>
    </xf>
    <xf numFmtId="0" fontId="28" fillId="7" borderId="0" xfId="0" applyFont="1" applyFill="1" applyAlignment="1">
      <alignment horizontal="left" vertical="center" indent="1"/>
    </xf>
    <xf numFmtId="0" fontId="30" fillId="7" borderId="0" xfId="0" applyFont="1" applyFill="1" applyAlignment="1">
      <alignment horizontal="left" vertical="center" indent="1"/>
    </xf>
    <xf numFmtId="0" fontId="0" fillId="0" borderId="19" xfId="0" applyFill="1" applyBorder="1" applyAlignment="1">
      <alignment horizontal="left" vertical="center" indent="1"/>
    </xf>
    <xf numFmtId="0" fontId="6" fillId="0" borderId="11" xfId="0" applyFont="1" applyFill="1" applyBorder="1" applyAlignment="1">
      <alignment horizontal="left" vertical="center" indent="1"/>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31" fillId="2" borderId="1" xfId="0" applyFont="1" applyFill="1" applyBorder="1" applyAlignment="1">
      <alignment horizontal="center" vertical="center" wrapText="1"/>
    </xf>
    <xf numFmtId="0" fontId="2" fillId="2" borderId="1" xfId="0" applyFont="1" applyFill="1" applyBorder="1" applyAlignment="1">
      <alignment/>
    </xf>
    <xf numFmtId="0" fontId="36" fillId="7" borderId="9" xfId="0" applyFont="1" applyFill="1" applyBorder="1" applyAlignment="1">
      <alignment horizontal="left" vertical="center" indent="1"/>
    </xf>
    <xf numFmtId="0" fontId="30" fillId="7" borderId="9" xfId="0" applyFont="1" applyFill="1" applyBorder="1" applyAlignment="1">
      <alignment horizontal="left" vertical="center" indent="1"/>
    </xf>
    <xf numFmtId="0" fontId="29" fillId="7" borderId="9" xfId="0" applyFont="1" applyFill="1" applyBorder="1" applyAlignment="1">
      <alignment horizontal="left" vertical="center" indent="1"/>
    </xf>
    <xf numFmtId="0" fontId="0" fillId="0" borderId="1" xfId="0" applyFill="1" applyBorder="1" applyAlignment="1">
      <alignment wrapText="1"/>
    </xf>
    <xf numFmtId="0" fontId="2" fillId="0" borderId="9" xfId="0" applyFont="1" applyBorder="1" applyAlignment="1">
      <alignment horizontal="left" vertical="center"/>
    </xf>
    <xf numFmtId="0" fontId="2" fillId="0" borderId="0" xfId="0" applyFont="1" applyAlignment="1">
      <alignment horizontal="left"/>
    </xf>
    <xf numFmtId="0" fontId="26" fillId="7" borderId="0" xfId="0" applyFont="1" applyFill="1" applyAlignment="1">
      <alignment horizontal="left"/>
    </xf>
    <xf numFmtId="0" fontId="40" fillId="7" borderId="0" xfId="0" applyFont="1" applyFill="1" applyAlignment="1">
      <alignment horizontal="left"/>
    </xf>
    <xf numFmtId="0" fontId="0" fillId="0" borderId="7" xfId="0" applyFill="1" applyBorder="1" applyAlignment="1">
      <alignment horizontal="left" vertical="center" indent="1"/>
    </xf>
    <xf numFmtId="0" fontId="0" fillId="0" borderId="8" xfId="0" applyFill="1" applyBorder="1" applyAlignment="1">
      <alignment horizontal="left" vertical="center" indent="1"/>
    </xf>
    <xf numFmtId="0" fontId="0" fillId="0" borderId="3" xfId="0" applyFill="1" applyBorder="1" applyAlignment="1">
      <alignment horizontal="left" vertical="center" indent="1"/>
    </xf>
    <xf numFmtId="0" fontId="15" fillId="0" borderId="1" xfId="0" applyFont="1" applyFill="1" applyBorder="1" applyAlignment="1">
      <alignment horizontal="center" vertical="center"/>
    </xf>
    <xf numFmtId="0" fontId="0" fillId="0" borderId="1" xfId="0" applyFill="1" applyBorder="1" applyAlignment="1">
      <alignment horizontal="center"/>
    </xf>
    <xf numFmtId="0" fontId="0" fillId="0" borderId="1" xfId="0" applyFont="1" applyFill="1" applyBorder="1" applyAlignment="1">
      <alignment horizontal="left" vertical="center" wrapText="1" indent="1"/>
    </xf>
    <xf numFmtId="0" fontId="0" fillId="0" borderId="1" xfId="0" applyFill="1" applyBorder="1" applyAlignment="1">
      <alignment horizontal="left" vertical="center" indent="1"/>
    </xf>
    <xf numFmtId="0" fontId="2" fillId="0" borderId="4" xfId="0" applyFont="1" applyFill="1" applyBorder="1" applyAlignment="1">
      <alignment horizontal="right" vertical="center" indent="1"/>
    </xf>
    <xf numFmtId="0" fontId="0" fillId="0" borderId="5" xfId="0" applyBorder="1" applyAlignment="1">
      <alignment horizontal="right" indent="1"/>
    </xf>
    <xf numFmtId="0" fontId="0" fillId="0" borderId="6" xfId="0" applyBorder="1" applyAlignment="1">
      <alignment horizontal="right" indent="1"/>
    </xf>
    <xf numFmtId="0" fontId="4"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6" fillId="0" borderId="10" xfId="0" applyFont="1" applyBorder="1" applyAlignment="1">
      <alignment horizontal="left" vertical="center" wrapText="1" indent="1"/>
    </xf>
    <xf numFmtId="0" fontId="6" fillId="0" borderId="0" xfId="0" applyFont="1" applyBorder="1" applyAlignment="1">
      <alignment horizontal="left" vertical="center" wrapText="1" indent="1"/>
    </xf>
    <xf numFmtId="0" fontId="0" fillId="0" borderId="1" xfId="0" applyFill="1" applyBorder="1" applyAlignment="1">
      <alignment horizontal="left" vertical="center" wrapText="1" indent="1"/>
    </xf>
    <xf numFmtId="169"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4" fillId="8" borderId="3" xfId="0" applyFont="1" applyFill="1" applyBorder="1" applyAlignment="1">
      <alignment horizontal="center" vertical="center" wrapText="1"/>
    </xf>
    <xf numFmtId="0" fontId="0" fillId="4" borderId="4" xfId="0" applyFill="1" applyBorder="1" applyAlignment="1">
      <alignment horizontal="right" vertical="center" wrapText="1"/>
    </xf>
    <xf numFmtId="0" fontId="0" fillId="4" borderId="5" xfId="0" applyFill="1" applyBorder="1" applyAlignment="1">
      <alignment horizontal="right" vertical="center" wrapText="1"/>
    </xf>
    <xf numFmtId="0" fontId="6" fillId="0" borderId="11" xfId="0" applyFont="1" applyFill="1" applyBorder="1" applyAlignment="1">
      <alignment horizontal="left" vertical="center" wrapText="1" indent="1"/>
    </xf>
    <xf numFmtId="0" fontId="0" fillId="0" borderId="0" xfId="0" applyAlignment="1">
      <alignment horizontal="left" vertical="center" wrapText="1" indent="1"/>
    </xf>
    <xf numFmtId="0" fontId="0" fillId="0" borderId="17" xfId="0" applyBorder="1" applyAlignment="1">
      <alignment horizontal="left" vertical="center" wrapText="1" indent="1"/>
    </xf>
    <xf numFmtId="0" fontId="12" fillId="0" borderId="18" xfId="0" applyFont="1" applyFill="1" applyBorder="1" applyAlignment="1">
      <alignment horizontal="left" vertical="center" wrapText="1" inden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31" fillId="2"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3" xfId="0" applyBorder="1" applyAlignment="1">
      <alignment wrapText="1"/>
    </xf>
    <xf numFmtId="0" fontId="4" fillId="0" borderId="4" xfId="0" applyFont="1" applyBorder="1" applyAlignment="1">
      <alignment horizontal="center" vertical="center" wrapText="1"/>
    </xf>
    <xf numFmtId="0" fontId="0" fillId="0" borderId="6" xfId="0" applyBorder="1" applyAlignment="1">
      <alignment horizontal="center" vertical="center" wrapText="1"/>
    </xf>
    <xf numFmtId="168" fontId="21" fillId="2" borderId="7" xfId="0" applyNumberFormat="1" applyFont="1" applyFill="1" applyBorder="1" applyAlignment="1">
      <alignment horizontal="center" vertical="center" wrapText="1"/>
    </xf>
    <xf numFmtId="168" fontId="21" fillId="2" borderId="8" xfId="0" applyNumberFormat="1" applyFont="1" applyFill="1" applyBorder="1" applyAlignment="1">
      <alignment horizontal="center" vertical="center" wrapText="1"/>
    </xf>
    <xf numFmtId="168" fontId="21" fillId="2" borderId="3" xfId="0" applyNumberFormat="1" applyFont="1" applyFill="1" applyBorder="1" applyAlignment="1">
      <alignment horizontal="center" vertical="center" wrapText="1"/>
    </xf>
    <xf numFmtId="0" fontId="28" fillId="7" borderId="4"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36" fillId="7" borderId="4" xfId="0" applyFont="1" applyFill="1" applyBorder="1" applyAlignment="1">
      <alignment vertical="center"/>
    </xf>
    <xf numFmtId="0" fontId="30" fillId="7" borderId="5" xfId="0" applyFont="1" applyFill="1" applyBorder="1" applyAlignment="1">
      <alignment vertical="center"/>
    </xf>
    <xf numFmtId="0" fontId="30" fillId="7" borderId="6" xfId="0" applyFont="1" applyFill="1" applyBorder="1" applyAlignment="1">
      <alignment vertical="center"/>
    </xf>
    <xf numFmtId="168" fontId="2" fillId="2" borderId="7" xfId="0" applyNumberFormat="1" applyFont="1" applyFill="1" applyBorder="1" applyAlignment="1">
      <alignment horizontal="center" vertical="center" wrapText="1"/>
    </xf>
    <xf numFmtId="168" fontId="2" fillId="2" borderId="3"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36" fillId="7" borderId="0" xfId="0" applyFont="1" applyFill="1" applyAlignment="1">
      <alignment horizontal="left" vertical="center"/>
    </xf>
    <xf numFmtId="0" fontId="0" fillId="0" borderId="0" xfId="0" applyAlignment="1">
      <alignment vertical="center"/>
    </xf>
    <xf numFmtId="1" fontId="2" fillId="2" borderId="1" xfId="0" applyNumberFormat="1" applyFont="1" applyFill="1" applyBorder="1" applyAlignment="1">
      <alignment horizontal="center" vertical="center"/>
    </xf>
    <xf numFmtId="169" fontId="21" fillId="2" borderId="1" xfId="0" applyNumberFormat="1" applyFont="1" applyFill="1" applyBorder="1" applyAlignment="1">
      <alignment horizontal="center" vertical="center" wrapText="1"/>
    </xf>
    <xf numFmtId="0" fontId="2" fillId="2" borderId="1" xfId="0" applyFont="1" applyFill="1" applyBorder="1" applyAlignment="1">
      <alignment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1" fontId="21" fillId="2" borderId="4"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xf>
    <xf numFmtId="2" fontId="2" fillId="2" borderId="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0" borderId="6" xfId="0" applyNumberFormat="1" applyFont="1" applyBorder="1" applyAlignment="1">
      <alignment horizontal="center" vertical="center"/>
    </xf>
    <xf numFmtId="168" fontId="2" fillId="2" borderId="1" xfId="0" applyNumberFormat="1" applyFont="1" applyFill="1" applyBorder="1" applyAlignment="1">
      <alignment horizontal="center" vertical="center" wrapText="1"/>
    </xf>
    <xf numFmtId="0" fontId="28" fillId="7" borderId="0" xfId="0" applyFont="1" applyFill="1" applyAlignment="1">
      <alignment horizontal="left" indent="1"/>
    </xf>
    <xf numFmtId="0" fontId="30" fillId="7" borderId="0" xfId="0" applyFont="1" applyFill="1" applyAlignment="1">
      <alignment horizontal="left" indent="1"/>
    </xf>
    <xf numFmtId="0" fontId="2" fillId="4" borderId="5" xfId="0" applyFont="1" applyFill="1" applyBorder="1" applyAlignment="1">
      <alignment horizontal="center" vertical="center" wrapText="1"/>
    </xf>
    <xf numFmtId="0" fontId="2" fillId="0" borderId="0" xfId="0" applyFont="1" applyAlignment="1">
      <alignment horizontal="left" vertical="center" indent="1"/>
    </xf>
    <xf numFmtId="0" fontId="0" fillId="0" borderId="0" xfId="0" applyAlignment="1">
      <alignment horizontal="left" vertical="center" indent="1"/>
    </xf>
    <xf numFmtId="0" fontId="2" fillId="4" borderId="4" xfId="0" applyFont="1" applyFill="1" applyBorder="1" applyAlignment="1">
      <alignment horizontal="right" vertical="center" wrapText="1"/>
    </xf>
    <xf numFmtId="0" fontId="0" fillId="0" borderId="5" xfId="0" applyBorder="1" applyAlignment="1">
      <alignment horizontal="right" vertical="center" wrapText="1"/>
    </xf>
    <xf numFmtId="0" fontId="31" fillId="2" borderId="7" xfId="0" applyFont="1" applyFill="1" applyBorder="1" applyAlignment="1">
      <alignment horizontal="center" vertical="center" wrapText="1"/>
    </xf>
    <xf numFmtId="0" fontId="0" fillId="0" borderId="8" xfId="0" applyBorder="1" applyAlignment="1">
      <alignment/>
    </xf>
    <xf numFmtId="0" fontId="2" fillId="0" borderId="4" xfId="0" applyFont="1" applyBorder="1" applyAlignment="1">
      <alignment horizontal="right" vertical="center" indent="1"/>
    </xf>
    <xf numFmtId="0" fontId="0" fillId="0" borderId="5" xfId="0" applyBorder="1" applyAlignment="1">
      <alignment horizontal="right" vertical="center" indent="1"/>
    </xf>
    <xf numFmtId="0" fontId="0" fillId="0" borderId="6" xfId="0" applyBorder="1" applyAlignment="1">
      <alignment horizontal="right" vertical="center" indent="1"/>
    </xf>
    <xf numFmtId="0" fontId="12" fillId="0" borderId="1" xfId="0" applyFont="1" applyBorder="1" applyAlignment="1">
      <alignment/>
    </xf>
    <xf numFmtId="0" fontId="2" fillId="0" borderId="0" xfId="0" applyFont="1" applyAlignment="1">
      <alignment vertical="center"/>
    </xf>
    <xf numFmtId="0" fontId="2" fillId="0" borderId="0" xfId="0" applyFont="1" applyAlignment="1" quotePrefix="1">
      <alignment horizontal="left" vertical="center" wrapText="1" indent="2"/>
    </xf>
    <xf numFmtId="0" fontId="0" fillId="0" borderId="0" xfId="0" applyAlignment="1">
      <alignment horizontal="left" vertical="center" wrapText="1" indent="2"/>
    </xf>
    <xf numFmtId="0" fontId="2" fillId="0" borderId="9" xfId="0" applyFont="1" applyBorder="1" applyAlignment="1" quotePrefix="1">
      <alignment horizontal="left" vertical="center" wrapText="1" indent="2"/>
    </xf>
    <xf numFmtId="0" fontId="0" fillId="0" borderId="9" xfId="0" applyBorder="1" applyAlignment="1">
      <alignment horizontal="left" vertical="center" wrapText="1" indent="2"/>
    </xf>
    <xf numFmtId="0" fontId="2" fillId="0" borderId="0" xfId="0" applyFont="1" applyAlignment="1" quotePrefix="1">
      <alignment horizontal="left" vertical="center" indent="2"/>
    </xf>
    <xf numFmtId="0" fontId="0" fillId="0" borderId="0" xfId="0" applyAlignment="1">
      <alignment horizontal="left" vertical="center" indent="2"/>
    </xf>
    <xf numFmtId="0" fontId="15" fillId="0" borderId="16" xfId="0" applyFont="1" applyFill="1" applyBorder="1" applyAlignment="1">
      <alignment horizontal="center" vertical="center"/>
    </xf>
    <xf numFmtId="0" fontId="0" fillId="0" borderId="17" xfId="0" applyFont="1" applyBorder="1" applyAlignment="1">
      <alignment/>
    </xf>
    <xf numFmtId="0" fontId="0" fillId="0" borderId="19" xfId="0" applyFont="1" applyBorder="1" applyAlignment="1">
      <alignment/>
    </xf>
    <xf numFmtId="0" fontId="2" fillId="0" borderId="4" xfId="0" applyFont="1" applyFill="1" applyBorder="1" applyAlignment="1">
      <alignment horizontal="right" vertical="center" wrapText="1" indent="1"/>
    </xf>
    <xf numFmtId="0" fontId="2" fillId="0" borderId="5" xfId="0" applyFont="1" applyBorder="1" applyAlignment="1">
      <alignment horizontal="right" vertical="center" indent="1"/>
    </xf>
    <xf numFmtId="0" fontId="2" fillId="0" borderId="6" xfId="0" applyFont="1" applyBorder="1" applyAlignment="1">
      <alignment horizontal="right" vertical="center" indent="1"/>
    </xf>
    <xf numFmtId="0" fontId="0" fillId="0" borderId="1" xfId="0" applyBorder="1" applyAlignment="1">
      <alignment wrapText="1"/>
    </xf>
    <xf numFmtId="0" fontId="14" fillId="0" borderId="1" xfId="0" applyFont="1" applyBorder="1" applyAlignment="1">
      <alignment horizontal="center" vertical="center" wrapText="1"/>
    </xf>
    <xf numFmtId="0" fontId="6" fillId="0" borderId="7" xfId="0" applyFont="1" applyFill="1" applyBorder="1" applyAlignment="1">
      <alignment horizontal="left" vertical="center" indent="1"/>
    </xf>
    <xf numFmtId="0" fontId="0" fillId="0" borderId="7" xfId="0" applyBorder="1" applyAlignment="1">
      <alignment horizontal="left" vertical="center" indent="1"/>
    </xf>
    <xf numFmtId="0" fontId="2" fillId="4" borderId="5" xfId="0" applyFont="1" applyFill="1" applyBorder="1" applyAlignment="1">
      <alignment horizontal="right" vertical="center" wrapText="1"/>
    </xf>
    <xf numFmtId="0" fontId="12" fillId="0" borderId="3" xfId="0" applyFont="1" applyFill="1" applyBorder="1" applyAlignment="1">
      <alignment horizontal="left" vertical="center" inden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Border="1" applyAlignment="1">
      <alignment horizontal="center" vertical="center" wrapText="1"/>
    </xf>
    <xf numFmtId="168" fontId="4" fillId="0" borderId="1" xfId="0" applyNumberFormat="1" applyFont="1" applyBorder="1" applyAlignment="1">
      <alignment horizontal="center" vertical="center" wrapText="1"/>
    </xf>
    <xf numFmtId="0" fontId="15" fillId="0" borderId="7" xfId="0" applyFont="1" applyFill="1" applyBorder="1" applyAlignment="1">
      <alignment horizontal="center" vertical="center"/>
    </xf>
    <xf numFmtId="0" fontId="6" fillId="0" borderId="8" xfId="0" applyFont="1" applyBorder="1" applyAlignment="1">
      <alignment horizontal="left" vertical="center" wrapText="1" indent="1"/>
    </xf>
    <xf numFmtId="0" fontId="0" fillId="0" borderId="8" xfId="0" applyBorder="1" applyAlignment="1">
      <alignment horizontal="left" vertical="center" indent="1"/>
    </xf>
    <xf numFmtId="0" fontId="0" fillId="2" borderId="7" xfId="0" applyFill="1" applyBorder="1" applyAlignment="1" applyProtection="1">
      <alignment horizontal="center" vertical="center" wrapText="1"/>
      <protection/>
    </xf>
    <xf numFmtId="0" fontId="0" fillId="0" borderId="3" xfId="0" applyBorder="1" applyAlignment="1" applyProtection="1">
      <alignment/>
      <protection/>
    </xf>
    <xf numFmtId="0" fontId="0" fillId="0" borderId="8" xfId="0" applyFill="1" applyBorder="1" applyAlignment="1">
      <alignment horizontal="center"/>
    </xf>
    <xf numFmtId="0" fontId="0" fillId="0" borderId="3" xfId="0" applyFill="1" applyBorder="1" applyAlignment="1">
      <alignment horizontal="center"/>
    </xf>
    <xf numFmtId="0" fontId="12" fillId="0" borderId="18" xfId="0" applyFont="1" applyBorder="1" applyAlignment="1" applyProtection="1">
      <alignment horizontal="left" vertical="center" indent="1"/>
      <protection/>
    </xf>
    <xf numFmtId="0" fontId="0" fillId="0" borderId="9" xfId="0" applyBorder="1" applyAlignment="1" applyProtection="1">
      <alignment horizontal="left" vertical="center" indent="1"/>
      <protection/>
    </xf>
    <xf numFmtId="0" fontId="0" fillId="0" borderId="19" xfId="0" applyBorder="1" applyAlignment="1" applyProtection="1">
      <alignment horizontal="left" vertical="center" indent="1"/>
      <protection/>
    </xf>
    <xf numFmtId="0" fontId="0" fillId="0" borderId="11" xfId="0" applyBorder="1" applyAlignment="1" applyProtection="1">
      <alignment horizontal="left" vertical="center" wrapText="1" indent="1"/>
      <protection/>
    </xf>
    <xf numFmtId="0" fontId="0" fillId="0" borderId="16" xfId="0" applyBorder="1" applyAlignment="1" applyProtection="1">
      <alignment horizontal="left" vertical="center" indent="1"/>
      <protection/>
    </xf>
    <xf numFmtId="0" fontId="0" fillId="0" borderId="10" xfId="0"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17"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0" fillId="0" borderId="8" xfId="0" applyBorder="1" applyAlignment="1" applyProtection="1">
      <alignment/>
      <protection/>
    </xf>
    <xf numFmtId="0" fontId="0" fillId="2" borderId="11" xfId="0" applyFill="1" applyBorder="1" applyAlignment="1" applyProtection="1">
      <alignment horizontal="center" vertical="center" wrapText="1"/>
      <protection/>
    </xf>
    <xf numFmtId="0" fontId="0" fillId="0" borderId="16"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9" xfId="0" applyBorder="1" applyAlignment="1" applyProtection="1">
      <alignment/>
      <protection/>
    </xf>
    <xf numFmtId="0" fontId="12" fillId="0" borderId="11" xfId="0" applyFont="1" applyBorder="1" applyAlignment="1" applyProtection="1">
      <alignment horizontal="left" vertical="center" indent="1"/>
      <protection/>
    </xf>
    <xf numFmtId="0" fontId="2" fillId="0" borderId="4" xfId="0" applyFont="1" applyBorder="1" applyAlignment="1" applyProtection="1">
      <alignment horizontal="right" vertical="center" indent="1"/>
      <protection/>
    </xf>
    <xf numFmtId="0" fontId="2" fillId="0" borderId="5" xfId="0" applyFont="1" applyBorder="1" applyAlignment="1" applyProtection="1">
      <alignment horizontal="right" vertical="center" indent="1"/>
      <protection/>
    </xf>
    <xf numFmtId="0" fontId="2" fillId="0" borderId="6" xfId="0" applyFont="1" applyBorder="1" applyAlignment="1" applyProtection="1">
      <alignment horizontal="right" vertical="center" indent="1"/>
      <protection/>
    </xf>
    <xf numFmtId="0" fontId="12" fillId="0" borderId="3" xfId="0" applyFont="1" applyBorder="1" applyAlignment="1">
      <alignment horizontal="left" vertical="center" indent="1"/>
    </xf>
    <xf numFmtId="0" fontId="0" fillId="0" borderId="3" xfId="0" applyBorder="1" applyAlignment="1">
      <alignment horizontal="left" vertical="center" indent="1"/>
    </xf>
    <xf numFmtId="0" fontId="28" fillId="7" borderId="0" xfId="0" applyFont="1" applyFill="1" applyAlignment="1" applyProtection="1">
      <alignment horizontal="left" vertical="center" indent="1"/>
      <protection/>
    </xf>
    <xf numFmtId="0" fontId="2" fillId="0" borderId="1" xfId="0" applyFont="1" applyBorder="1" applyAlignment="1">
      <alignment horizontal="right" vertical="center" indent="1"/>
    </xf>
    <xf numFmtId="0" fontId="12" fillId="0" borderId="7" xfId="0" applyFont="1" applyBorder="1" applyAlignment="1">
      <alignment horizontal="left" vertical="center" indent="1"/>
    </xf>
    <xf numFmtId="0" fontId="0" fillId="2" borderId="1" xfId="0" applyFill="1" applyBorder="1" applyAlignment="1">
      <alignment horizontal="center" vertical="center" wrapText="1"/>
    </xf>
    <xf numFmtId="0" fontId="0" fillId="0" borderId="0" xfId="0" applyAlignment="1">
      <alignment horizontal="center"/>
    </xf>
    <xf numFmtId="0" fontId="0" fillId="0" borderId="0" xfId="0" applyAlignment="1">
      <alignment/>
    </xf>
    <xf numFmtId="169" fontId="0" fillId="4" borderId="7" xfId="0" applyNumberFormat="1" applyFill="1" applyBorder="1" applyAlignment="1" applyProtection="1">
      <alignment horizontal="center" vertical="center"/>
      <protection/>
    </xf>
    <xf numFmtId="169" fontId="0" fillId="4" borderId="3" xfId="0" applyNumberFormat="1" applyFill="1" applyBorder="1" applyAlignment="1" applyProtection="1">
      <alignment horizontal="center" vertical="center"/>
      <protection/>
    </xf>
    <xf numFmtId="0" fontId="15" fillId="0" borderId="3" xfId="0" applyFont="1" applyFill="1" applyBorder="1" applyAlignment="1">
      <alignment horizontal="center" vertical="center"/>
    </xf>
    <xf numFmtId="0" fontId="0" fillId="0" borderId="7" xfId="0" applyFont="1" applyFill="1" applyBorder="1" applyAlignment="1">
      <alignment horizontal="left" vertical="center" wrapText="1" indent="1"/>
    </xf>
    <xf numFmtId="0" fontId="0" fillId="0" borderId="3" xfId="0" applyFont="1"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3" xfId="0" applyFill="1" applyBorder="1" applyAlignment="1">
      <alignment horizontal="left" vertical="center" wrapText="1" indent="1"/>
    </xf>
    <xf numFmtId="0" fontId="0" fillId="3" borderId="7" xfId="0" applyFill="1" applyBorder="1" applyAlignment="1">
      <alignment horizontal="center" vertical="center"/>
    </xf>
    <xf numFmtId="0" fontId="0" fillId="3" borderId="3" xfId="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575"/>
          <c:w val="0.9545"/>
          <c:h val="0.9445"/>
        </c:manualLayout>
      </c:layout>
      <c:scatterChart>
        <c:scatterStyle val="smooth"/>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'Lateral Strength Assessment - U'!$AH$8:$AH$109</c:f>
              <c:numCache>
                <c:ptCount val="102"/>
                <c:pt idx="0">
                  <c:v>-15661.614723397628</c:v>
                </c:pt>
                <c:pt idx="1">
                  <c:v>-15642.21298942665</c:v>
                </c:pt>
                <c:pt idx="2">
                  <c:v>-15617.96082196292</c:v>
                </c:pt>
                <c:pt idx="3">
                  <c:v>-15584.007787513705</c:v>
                </c:pt>
                <c:pt idx="4">
                  <c:v>-15540.353886078998</c:v>
                </c:pt>
                <c:pt idx="5">
                  <c:v>-15486.999117658805</c:v>
                </c:pt>
                <c:pt idx="6">
                  <c:v>-15423.943482253115</c:v>
                </c:pt>
                <c:pt idx="7">
                  <c:v>-15351.186979861935</c:v>
                </c:pt>
                <c:pt idx="8">
                  <c:v>-15268.72961048527</c:v>
                </c:pt>
                <c:pt idx="9">
                  <c:v>-15176.571374123112</c:v>
                </c:pt>
                <c:pt idx="10">
                  <c:v>-15074.712270775464</c:v>
                </c:pt>
                <c:pt idx="11">
                  <c:v>-14963.152300442325</c:v>
                </c:pt>
                <c:pt idx="12">
                  <c:v>-14841.891463123695</c:v>
                </c:pt>
                <c:pt idx="13">
                  <c:v>-14710.929758819573</c:v>
                </c:pt>
                <c:pt idx="14">
                  <c:v>-14570.267187529962</c:v>
                </c:pt>
                <c:pt idx="15">
                  <c:v>-14419.903749254863</c:v>
                </c:pt>
                <c:pt idx="16">
                  <c:v>-14259.839443994275</c:v>
                </c:pt>
                <c:pt idx="17">
                  <c:v>-14090.07427174819</c:v>
                </c:pt>
                <c:pt idx="18">
                  <c:v>-13910.608232516623</c:v>
                </c:pt>
                <c:pt idx="19">
                  <c:v>-13721.44132629956</c:v>
                </c:pt>
                <c:pt idx="20">
                  <c:v>-13522.573553097007</c:v>
                </c:pt>
                <c:pt idx="21">
                  <c:v>-13314.004912908964</c:v>
                </c:pt>
                <c:pt idx="22">
                  <c:v>-13095.735405735433</c:v>
                </c:pt>
                <c:pt idx="23">
                  <c:v>-12867.765031576408</c:v>
                </c:pt>
                <c:pt idx="24">
                  <c:v>-12677.48985708288</c:v>
                </c:pt>
                <c:pt idx="25">
                  <c:v>-12480.29558533504</c:v>
                </c:pt>
                <c:pt idx="26">
                  <c:v>-12276.182216332894</c:v>
                </c:pt>
                <c:pt idx="27">
                  <c:v>-12065.149750076434</c:v>
                </c:pt>
                <c:pt idx="28">
                  <c:v>-11847.198186565667</c:v>
                </c:pt>
                <c:pt idx="29">
                  <c:v>-11622.32752580059</c:v>
                </c:pt>
                <c:pt idx="30">
                  <c:v>-10386.115483030515</c:v>
                </c:pt>
                <c:pt idx="31">
                  <c:v>-9113.001588237456</c:v>
                </c:pt>
                <c:pt idx="32">
                  <c:v>-7802.985841421409</c:v>
                </c:pt>
                <c:pt idx="33">
                  <c:v>-6456.068242582374</c:v>
                </c:pt>
                <c:pt idx="34">
                  <c:v>-5072.2487917203525</c:v>
                </c:pt>
                <c:pt idx="35">
                  <c:v>-3651.5274888353433</c:v>
                </c:pt>
                <c:pt idx="36">
                  <c:v>-2193.9043339273485</c:v>
                </c:pt>
                <c:pt idx="37">
                  <c:v>-699.3793269963635</c:v>
                </c:pt>
                <c:pt idx="38">
                  <c:v>832.047531957608</c:v>
                </c:pt>
                <c:pt idx="39">
                  <c:v>2400.376242934566</c:v>
                </c:pt>
                <c:pt idx="40">
                  <c:v>3996.0152765566972</c:v>
                </c:pt>
                <c:pt idx="41">
                  <c:v>5609.373103446187</c:v>
                </c:pt>
                <c:pt idx="42">
                  <c:v>7240.449723603033</c:v>
                </c:pt>
                <c:pt idx="43">
                  <c:v>8889.245137027236</c:v>
                </c:pt>
                <c:pt idx="44">
                  <c:v>10555.759343718797</c:v>
                </c:pt>
                <c:pt idx="45">
                  <c:v>12239.992343677717</c:v>
                </c:pt>
                <c:pt idx="46">
                  <c:v>13941.944136903994</c:v>
                </c:pt>
                <c:pt idx="47">
                  <c:v>15661.614723397628</c:v>
                </c:pt>
                <c:pt idx="48">
                  <c:v>15661.614723397628</c:v>
                </c:pt>
                <c:pt idx="49">
                  <c:v>15661.614723397628</c:v>
                </c:pt>
                <c:pt idx="50">
                  <c:v>15661.614723397628</c:v>
                </c:pt>
                <c:pt idx="51">
                  <c:v>15661.614723397628</c:v>
                </c:pt>
                <c:pt idx="52">
                  <c:v>15661.614723397628</c:v>
                </c:pt>
                <c:pt idx="53">
                  <c:v>15661.614723397628</c:v>
                </c:pt>
                <c:pt idx="54">
                  <c:v>15661.614723397628</c:v>
                </c:pt>
                <c:pt idx="55">
                  <c:v>15661.614723397628</c:v>
                </c:pt>
                <c:pt idx="56">
                  <c:v>15661.614723397628</c:v>
                </c:pt>
                <c:pt idx="57">
                  <c:v>15661.614723397628</c:v>
                </c:pt>
                <c:pt idx="58">
                  <c:v>15661.614723397628</c:v>
                </c:pt>
                <c:pt idx="59">
                  <c:v>15661.614723397628</c:v>
                </c:pt>
                <c:pt idx="60">
                  <c:v>15661.614723397628</c:v>
                </c:pt>
                <c:pt idx="61">
                  <c:v>15661.614723397628</c:v>
                </c:pt>
                <c:pt idx="62">
                  <c:v>15661.614723397628</c:v>
                </c:pt>
                <c:pt idx="63">
                  <c:v>15661.614723397628</c:v>
                </c:pt>
                <c:pt idx="64">
                  <c:v>15661.614723397628</c:v>
                </c:pt>
                <c:pt idx="65">
                  <c:v>15661.614723397628</c:v>
                </c:pt>
                <c:pt idx="66">
                  <c:v>15661.614723397628</c:v>
                </c:pt>
                <c:pt idx="67">
                  <c:v>15661.614723397628</c:v>
                </c:pt>
                <c:pt idx="68">
                  <c:v>15661.614723397628</c:v>
                </c:pt>
                <c:pt idx="69">
                  <c:v>15661.614723397628</c:v>
                </c:pt>
                <c:pt idx="70">
                  <c:v>15661.614723397628</c:v>
                </c:pt>
                <c:pt idx="71">
                  <c:v>15661.614723397628</c:v>
                </c:pt>
                <c:pt idx="72">
                  <c:v>15661.614723397628</c:v>
                </c:pt>
                <c:pt idx="73">
                  <c:v>15661.614723397628</c:v>
                </c:pt>
                <c:pt idx="74">
                  <c:v>15661.614723397628</c:v>
                </c:pt>
                <c:pt idx="75">
                  <c:v>15661.614723397628</c:v>
                </c:pt>
                <c:pt idx="76">
                  <c:v>15661.614723397628</c:v>
                </c:pt>
                <c:pt idx="77">
                  <c:v>15661.614723397628</c:v>
                </c:pt>
                <c:pt idx="78">
                  <c:v>15661.614723397628</c:v>
                </c:pt>
                <c:pt idx="79">
                  <c:v>15661.614723397628</c:v>
                </c:pt>
                <c:pt idx="80">
                  <c:v>15661.614723397628</c:v>
                </c:pt>
                <c:pt idx="81">
                  <c:v>15661.614723397628</c:v>
                </c:pt>
                <c:pt idx="82">
                  <c:v>15661.614723397628</c:v>
                </c:pt>
                <c:pt idx="83">
                  <c:v>15661.614723397628</c:v>
                </c:pt>
                <c:pt idx="84">
                  <c:v>15661.614723397628</c:v>
                </c:pt>
                <c:pt idx="85">
                  <c:v>15661.614723397628</c:v>
                </c:pt>
                <c:pt idx="86">
                  <c:v>15661.614723397628</c:v>
                </c:pt>
                <c:pt idx="87">
                  <c:v>15661.614723397628</c:v>
                </c:pt>
                <c:pt idx="88">
                  <c:v>15661.614723397628</c:v>
                </c:pt>
                <c:pt idx="89">
                  <c:v>15661.614723397628</c:v>
                </c:pt>
                <c:pt idx="90">
                  <c:v>15661.614723397628</c:v>
                </c:pt>
                <c:pt idx="91">
                  <c:v>15661.614723397628</c:v>
                </c:pt>
                <c:pt idx="92">
                  <c:v>15661.614723397628</c:v>
                </c:pt>
                <c:pt idx="93">
                  <c:v>15661.614723397628</c:v>
                </c:pt>
                <c:pt idx="94">
                  <c:v>15661.614723397628</c:v>
                </c:pt>
                <c:pt idx="95">
                  <c:v>15661.614723397628</c:v>
                </c:pt>
                <c:pt idx="96">
                  <c:v>15661.614723397628</c:v>
                </c:pt>
                <c:pt idx="97">
                  <c:v>15661.614723397628</c:v>
                </c:pt>
                <c:pt idx="98">
                  <c:v>15661.614723397628</c:v>
                </c:pt>
                <c:pt idx="99">
                  <c:v>15661.614723397628</c:v>
                </c:pt>
                <c:pt idx="100">
                  <c:v>15661.614723397628</c:v>
                </c:pt>
                <c:pt idx="101">
                  <c:v>15661.614723397628</c:v>
                </c:pt>
              </c:numCache>
            </c:numRef>
          </c:xVal>
          <c:yVal>
            <c:numRef>
              <c:f>'Lateral Strength Assessment - U'!$AI$8:$AI$109</c:f>
              <c:numCache>
                <c:ptCount val="102"/>
                <c:pt idx="0">
                  <c:v>578253.9036741485</c:v>
                </c:pt>
                <c:pt idx="1">
                  <c:v>578229.6515066847</c:v>
                </c:pt>
                <c:pt idx="2">
                  <c:v>578169.0210880254</c:v>
                </c:pt>
                <c:pt idx="3">
                  <c:v>578050.1854674532</c:v>
                </c:pt>
                <c:pt idx="4">
                  <c:v>577853.742910997</c:v>
                </c:pt>
                <c:pt idx="5">
                  <c:v>577560.291684686</c:v>
                </c:pt>
                <c:pt idx="6">
                  <c:v>577150.4300545489</c:v>
                </c:pt>
                <c:pt idx="7">
                  <c:v>576604.756286615</c:v>
                </c:pt>
                <c:pt idx="8">
                  <c:v>575903.8686469134</c:v>
                </c:pt>
                <c:pt idx="9">
                  <c:v>575028.3654014729</c:v>
                </c:pt>
                <c:pt idx="10">
                  <c:v>573958.8448163227</c:v>
                </c:pt>
                <c:pt idx="11">
                  <c:v>572675.9051574916</c:v>
                </c:pt>
                <c:pt idx="12">
                  <c:v>571160.1446910086</c:v>
                </c:pt>
                <c:pt idx="13">
                  <c:v>569392.1616829031</c:v>
                </c:pt>
                <c:pt idx="14">
                  <c:v>567352.5543992037</c:v>
                </c:pt>
                <c:pt idx="15">
                  <c:v>565021.9211059397</c:v>
                </c:pt>
                <c:pt idx="16">
                  <c:v>562380.8600691399</c:v>
                </c:pt>
                <c:pt idx="17">
                  <c:v>559409.9695548334</c:v>
                </c:pt>
                <c:pt idx="18">
                  <c:v>556089.8478290495</c:v>
                </c:pt>
                <c:pt idx="19">
                  <c:v>552401.0931578167</c:v>
                </c:pt>
                <c:pt idx="20">
                  <c:v>548324.3038071643</c:v>
                </c:pt>
                <c:pt idx="21">
                  <c:v>543840.0780431214</c:v>
                </c:pt>
                <c:pt idx="22">
                  <c:v>538929.0141317169</c:v>
                </c:pt>
                <c:pt idx="23">
                  <c:v>533571.71033898</c:v>
                </c:pt>
                <c:pt idx="24">
                  <c:v>528909.9685638885</c:v>
                </c:pt>
                <c:pt idx="25">
                  <c:v>523881.51463431853</c:v>
                </c:pt>
                <c:pt idx="26">
                  <c:v>518472.51035576157</c:v>
                </c:pt>
                <c:pt idx="27">
                  <c:v>512669.117533709</c:v>
                </c:pt>
                <c:pt idx="28">
                  <c:v>506457.49797365215</c:v>
                </c:pt>
                <c:pt idx="29">
                  <c:v>499823.81348108227</c:v>
                </c:pt>
                <c:pt idx="30">
                  <c:v>462119.3461765951</c:v>
                </c:pt>
                <c:pt idx="31">
                  <c:v>422016.2584906137</c:v>
                </c:pt>
                <c:pt idx="32">
                  <c:v>379440.7467190922</c:v>
                </c:pt>
                <c:pt idx="33">
                  <c:v>334319.0071579846</c:v>
                </c:pt>
                <c:pt idx="34">
                  <c:v>286577.2361032448</c:v>
                </c:pt>
                <c:pt idx="35">
                  <c:v>236141.62985082695</c:v>
                </c:pt>
                <c:pt idx="36">
                  <c:v>182938.38469668507</c:v>
                </c:pt>
                <c:pt idx="37">
                  <c:v>126893.6969367732</c:v>
                </c:pt>
                <c:pt idx="38">
                  <c:v>67933.76286704524</c:v>
                </c:pt>
                <c:pt idx="39">
                  <c:v>5984.778783455375</c:v>
                </c:pt>
                <c:pt idx="40">
                  <c:v>-58638.60207824092</c:v>
                </c:pt>
                <c:pt idx="41">
                  <c:v>-125592.95189415471</c:v>
                </c:pt>
                <c:pt idx="42">
                  <c:v>-194913.7082508207</c:v>
                </c:pt>
                <c:pt idx="43">
                  <c:v>-266636.3087347736</c:v>
                </c:pt>
                <c:pt idx="44">
                  <c:v>-340796.1909325481</c:v>
                </c:pt>
                <c:pt idx="45">
                  <c:v>-417428.7924306789</c:v>
                </c:pt>
                <c:pt idx="46">
                  <c:v>-496569.5508157008</c:v>
                </c:pt>
                <c:pt idx="47">
                  <c:v>-578253.9036741485</c:v>
                </c:pt>
                <c:pt idx="48">
                  <c:v>-578253.9036741485</c:v>
                </c:pt>
                <c:pt idx="49">
                  <c:v>-578253.9036741485</c:v>
                </c:pt>
                <c:pt idx="50">
                  <c:v>-578253.9036741485</c:v>
                </c:pt>
                <c:pt idx="51">
                  <c:v>-578253.9036741485</c:v>
                </c:pt>
                <c:pt idx="52">
                  <c:v>-578253.9036741485</c:v>
                </c:pt>
                <c:pt idx="53">
                  <c:v>-578253.9036741485</c:v>
                </c:pt>
                <c:pt idx="54">
                  <c:v>-578253.9036741485</c:v>
                </c:pt>
                <c:pt idx="55">
                  <c:v>-578253.9036741485</c:v>
                </c:pt>
                <c:pt idx="56">
                  <c:v>-578253.9036741485</c:v>
                </c:pt>
                <c:pt idx="57">
                  <c:v>-578253.9036741485</c:v>
                </c:pt>
                <c:pt idx="58">
                  <c:v>-578253.9036741485</c:v>
                </c:pt>
                <c:pt idx="59">
                  <c:v>-578253.9036741485</c:v>
                </c:pt>
                <c:pt idx="60">
                  <c:v>-578253.9036741485</c:v>
                </c:pt>
                <c:pt idx="61">
                  <c:v>-578253.9036741485</c:v>
                </c:pt>
                <c:pt idx="62">
                  <c:v>-578253.9036741485</c:v>
                </c:pt>
                <c:pt idx="63">
                  <c:v>-578253.9036741485</c:v>
                </c:pt>
                <c:pt idx="64">
                  <c:v>-578253.9036741485</c:v>
                </c:pt>
                <c:pt idx="65">
                  <c:v>-578253.9036741485</c:v>
                </c:pt>
                <c:pt idx="66">
                  <c:v>-578253.9036741485</c:v>
                </c:pt>
                <c:pt idx="67">
                  <c:v>-578253.9036741485</c:v>
                </c:pt>
                <c:pt idx="68">
                  <c:v>-578253.9036741485</c:v>
                </c:pt>
                <c:pt idx="69">
                  <c:v>-578253.9036741485</c:v>
                </c:pt>
                <c:pt idx="70">
                  <c:v>-578253.9036741485</c:v>
                </c:pt>
                <c:pt idx="71">
                  <c:v>-578253.9036741485</c:v>
                </c:pt>
                <c:pt idx="72">
                  <c:v>-578253.9036741485</c:v>
                </c:pt>
                <c:pt idx="73">
                  <c:v>-578253.9036741485</c:v>
                </c:pt>
                <c:pt idx="74">
                  <c:v>-578253.9036741485</c:v>
                </c:pt>
                <c:pt idx="75">
                  <c:v>-578253.9036741485</c:v>
                </c:pt>
                <c:pt idx="76">
                  <c:v>-578253.9036741485</c:v>
                </c:pt>
                <c:pt idx="77">
                  <c:v>-578253.9036741485</c:v>
                </c:pt>
                <c:pt idx="78">
                  <c:v>-578253.9036741485</c:v>
                </c:pt>
                <c:pt idx="79">
                  <c:v>-578253.9036741485</c:v>
                </c:pt>
                <c:pt idx="80">
                  <c:v>-578253.9036741485</c:v>
                </c:pt>
                <c:pt idx="81">
                  <c:v>-578253.9036741485</c:v>
                </c:pt>
                <c:pt idx="82">
                  <c:v>-578253.9036741485</c:v>
                </c:pt>
                <c:pt idx="83">
                  <c:v>-578253.9036741485</c:v>
                </c:pt>
                <c:pt idx="84">
                  <c:v>-578253.9036741485</c:v>
                </c:pt>
                <c:pt idx="85">
                  <c:v>-578253.9036741485</c:v>
                </c:pt>
                <c:pt idx="86">
                  <c:v>-578253.9036741485</c:v>
                </c:pt>
                <c:pt idx="87">
                  <c:v>-578253.9036741485</c:v>
                </c:pt>
                <c:pt idx="88">
                  <c:v>-578253.9036741485</c:v>
                </c:pt>
                <c:pt idx="89">
                  <c:v>-578253.9036741485</c:v>
                </c:pt>
                <c:pt idx="90">
                  <c:v>-578253.9036741485</c:v>
                </c:pt>
                <c:pt idx="91">
                  <c:v>-578253.9036741485</c:v>
                </c:pt>
                <c:pt idx="92">
                  <c:v>-578253.9036741485</c:v>
                </c:pt>
                <c:pt idx="93">
                  <c:v>-578253.9036741485</c:v>
                </c:pt>
                <c:pt idx="94">
                  <c:v>-578253.9036741485</c:v>
                </c:pt>
                <c:pt idx="95">
                  <c:v>-578253.9036741485</c:v>
                </c:pt>
                <c:pt idx="96">
                  <c:v>-578253.9036741485</c:v>
                </c:pt>
                <c:pt idx="97">
                  <c:v>-578253.9036741485</c:v>
                </c:pt>
                <c:pt idx="98">
                  <c:v>-578253.9036741485</c:v>
                </c:pt>
                <c:pt idx="99">
                  <c:v>-578253.9036741485</c:v>
                </c:pt>
                <c:pt idx="100">
                  <c:v>-578253.9036741485</c:v>
                </c:pt>
                <c:pt idx="101">
                  <c:v>-578253.9036741485</c:v>
                </c:pt>
              </c:numCache>
            </c:numRef>
          </c:yVal>
          <c:smooth val="1"/>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'Lateral Strength Assessment - U'!$AJ$8:$AJ$109</c:f>
              <c:numCache>
                <c:ptCount val="102"/>
                <c:pt idx="0">
                  <c:v>15661.614723397628</c:v>
                </c:pt>
                <c:pt idx="1">
                  <c:v>15642.21298942665</c:v>
                </c:pt>
                <c:pt idx="2">
                  <c:v>15617.96082196292</c:v>
                </c:pt>
                <c:pt idx="3">
                  <c:v>15584.007787513705</c:v>
                </c:pt>
                <c:pt idx="4">
                  <c:v>15540.353886078998</c:v>
                </c:pt>
                <c:pt idx="5">
                  <c:v>15486.999117658805</c:v>
                </c:pt>
                <c:pt idx="6">
                  <c:v>15423.943482253115</c:v>
                </c:pt>
                <c:pt idx="7">
                  <c:v>15351.186979861935</c:v>
                </c:pt>
                <c:pt idx="8">
                  <c:v>15268.72961048527</c:v>
                </c:pt>
                <c:pt idx="9">
                  <c:v>15176.571374123112</c:v>
                </c:pt>
                <c:pt idx="10">
                  <c:v>15074.712270775464</c:v>
                </c:pt>
                <c:pt idx="11">
                  <c:v>14963.152300442325</c:v>
                </c:pt>
                <c:pt idx="12">
                  <c:v>14841.891463123695</c:v>
                </c:pt>
                <c:pt idx="13">
                  <c:v>14710.929758819573</c:v>
                </c:pt>
                <c:pt idx="14">
                  <c:v>14570.267187529962</c:v>
                </c:pt>
                <c:pt idx="15">
                  <c:v>14419.903749254863</c:v>
                </c:pt>
                <c:pt idx="16">
                  <c:v>14259.839443994275</c:v>
                </c:pt>
                <c:pt idx="17">
                  <c:v>14090.07427174819</c:v>
                </c:pt>
                <c:pt idx="18">
                  <c:v>13910.608232516623</c:v>
                </c:pt>
                <c:pt idx="19">
                  <c:v>13721.44132629956</c:v>
                </c:pt>
                <c:pt idx="20">
                  <c:v>13522.573553097007</c:v>
                </c:pt>
                <c:pt idx="21">
                  <c:v>13314.004912908964</c:v>
                </c:pt>
                <c:pt idx="22">
                  <c:v>13095.735405735433</c:v>
                </c:pt>
                <c:pt idx="23">
                  <c:v>12867.765031576408</c:v>
                </c:pt>
                <c:pt idx="24">
                  <c:v>12677.48985708288</c:v>
                </c:pt>
                <c:pt idx="25">
                  <c:v>12480.29558533504</c:v>
                </c:pt>
                <c:pt idx="26">
                  <c:v>12276.182216332894</c:v>
                </c:pt>
                <c:pt idx="27">
                  <c:v>12065.149750076434</c:v>
                </c:pt>
                <c:pt idx="28">
                  <c:v>11847.198186565667</c:v>
                </c:pt>
                <c:pt idx="29">
                  <c:v>11622.32752580059</c:v>
                </c:pt>
                <c:pt idx="30">
                  <c:v>10386.115483030515</c:v>
                </c:pt>
                <c:pt idx="31">
                  <c:v>9113.001588237456</c:v>
                </c:pt>
                <c:pt idx="32">
                  <c:v>7802.985841421409</c:v>
                </c:pt>
                <c:pt idx="33">
                  <c:v>6456.068242582374</c:v>
                </c:pt>
                <c:pt idx="34">
                  <c:v>5072.2487917203525</c:v>
                </c:pt>
                <c:pt idx="35">
                  <c:v>3651.5274888353433</c:v>
                </c:pt>
                <c:pt idx="36">
                  <c:v>2193.9043339273485</c:v>
                </c:pt>
                <c:pt idx="37">
                  <c:v>699.3793269963635</c:v>
                </c:pt>
                <c:pt idx="38">
                  <c:v>-832.047531957608</c:v>
                </c:pt>
                <c:pt idx="39">
                  <c:v>-2400.376242934566</c:v>
                </c:pt>
                <c:pt idx="40">
                  <c:v>-3996.0152765566972</c:v>
                </c:pt>
                <c:pt idx="41">
                  <c:v>-5609.373103446187</c:v>
                </c:pt>
                <c:pt idx="42">
                  <c:v>-7240.449723603033</c:v>
                </c:pt>
                <c:pt idx="43">
                  <c:v>-8889.245137027236</c:v>
                </c:pt>
                <c:pt idx="44">
                  <c:v>-10555.759343718797</c:v>
                </c:pt>
                <c:pt idx="45">
                  <c:v>-12239.992343677717</c:v>
                </c:pt>
                <c:pt idx="46">
                  <c:v>-13941.944136903994</c:v>
                </c:pt>
                <c:pt idx="47">
                  <c:v>-15661.614723397628</c:v>
                </c:pt>
                <c:pt idx="48">
                  <c:v>-15661.614723397628</c:v>
                </c:pt>
                <c:pt idx="49">
                  <c:v>-15661.614723397628</c:v>
                </c:pt>
                <c:pt idx="50">
                  <c:v>-15661.614723397628</c:v>
                </c:pt>
                <c:pt idx="51">
                  <c:v>-15661.614723397628</c:v>
                </c:pt>
                <c:pt idx="52">
                  <c:v>-15661.614723397628</c:v>
                </c:pt>
                <c:pt idx="53">
                  <c:v>-15661.614723397628</c:v>
                </c:pt>
                <c:pt idx="54">
                  <c:v>-15661.614723397628</c:v>
                </c:pt>
                <c:pt idx="55">
                  <c:v>-15661.614723397628</c:v>
                </c:pt>
                <c:pt idx="56">
                  <c:v>-15661.614723397628</c:v>
                </c:pt>
                <c:pt idx="57">
                  <c:v>-15661.614723397628</c:v>
                </c:pt>
                <c:pt idx="58">
                  <c:v>-15661.614723397628</c:v>
                </c:pt>
                <c:pt idx="59">
                  <c:v>-15661.614723397628</c:v>
                </c:pt>
                <c:pt idx="60">
                  <c:v>-15661.614723397628</c:v>
                </c:pt>
                <c:pt idx="61">
                  <c:v>-15661.614723397628</c:v>
                </c:pt>
                <c:pt idx="62">
                  <c:v>-15661.614723397628</c:v>
                </c:pt>
                <c:pt idx="63">
                  <c:v>-15661.614723397628</c:v>
                </c:pt>
                <c:pt idx="64">
                  <c:v>-15661.614723397628</c:v>
                </c:pt>
                <c:pt idx="65">
                  <c:v>-15661.614723397628</c:v>
                </c:pt>
                <c:pt idx="66">
                  <c:v>-15661.614723397628</c:v>
                </c:pt>
                <c:pt idx="67">
                  <c:v>-15661.614723397628</c:v>
                </c:pt>
                <c:pt idx="68">
                  <c:v>-15661.614723397628</c:v>
                </c:pt>
                <c:pt idx="69">
                  <c:v>-15661.614723397628</c:v>
                </c:pt>
                <c:pt idx="70">
                  <c:v>-15661.614723397628</c:v>
                </c:pt>
                <c:pt idx="71">
                  <c:v>-15661.614723397628</c:v>
                </c:pt>
                <c:pt idx="72">
                  <c:v>-15661.614723397628</c:v>
                </c:pt>
                <c:pt idx="73">
                  <c:v>-15661.614723397628</c:v>
                </c:pt>
                <c:pt idx="74">
                  <c:v>-15661.614723397628</c:v>
                </c:pt>
                <c:pt idx="75">
                  <c:v>-15661.614723397628</c:v>
                </c:pt>
                <c:pt idx="76">
                  <c:v>-15661.614723397628</c:v>
                </c:pt>
                <c:pt idx="77">
                  <c:v>-15661.614723397628</c:v>
                </c:pt>
                <c:pt idx="78">
                  <c:v>-15661.614723397628</c:v>
                </c:pt>
                <c:pt idx="79">
                  <c:v>-15661.614723397628</c:v>
                </c:pt>
                <c:pt idx="80">
                  <c:v>-15661.614723397628</c:v>
                </c:pt>
                <c:pt idx="81">
                  <c:v>-15661.614723397628</c:v>
                </c:pt>
                <c:pt idx="82">
                  <c:v>-15661.614723397628</c:v>
                </c:pt>
                <c:pt idx="83">
                  <c:v>-15661.614723397628</c:v>
                </c:pt>
                <c:pt idx="84">
                  <c:v>-15661.614723397628</c:v>
                </c:pt>
                <c:pt idx="85">
                  <c:v>-15661.614723397628</c:v>
                </c:pt>
                <c:pt idx="86">
                  <c:v>-15661.614723397628</c:v>
                </c:pt>
                <c:pt idx="87">
                  <c:v>-15661.614723397628</c:v>
                </c:pt>
                <c:pt idx="88">
                  <c:v>-15661.614723397628</c:v>
                </c:pt>
                <c:pt idx="89">
                  <c:v>-15661.614723397628</c:v>
                </c:pt>
                <c:pt idx="90">
                  <c:v>-15661.614723397628</c:v>
                </c:pt>
                <c:pt idx="91">
                  <c:v>-15661.614723397628</c:v>
                </c:pt>
                <c:pt idx="92">
                  <c:v>-15661.614723397628</c:v>
                </c:pt>
                <c:pt idx="93">
                  <c:v>-15661.614723397628</c:v>
                </c:pt>
                <c:pt idx="94">
                  <c:v>-15661.614723397628</c:v>
                </c:pt>
                <c:pt idx="95">
                  <c:v>-15661.614723397628</c:v>
                </c:pt>
                <c:pt idx="96">
                  <c:v>-15661.614723397628</c:v>
                </c:pt>
                <c:pt idx="97">
                  <c:v>-15661.614723397628</c:v>
                </c:pt>
                <c:pt idx="98">
                  <c:v>-15661.614723397628</c:v>
                </c:pt>
                <c:pt idx="99">
                  <c:v>-15661.614723397628</c:v>
                </c:pt>
                <c:pt idx="100">
                  <c:v>-15661.614723397628</c:v>
                </c:pt>
                <c:pt idx="101">
                  <c:v>-15661.614723397628</c:v>
                </c:pt>
              </c:numCache>
            </c:numRef>
          </c:xVal>
          <c:yVal>
            <c:numRef>
              <c:f>'Lateral Strength Assessment - U'!$AK$8:$AK$109</c:f>
              <c:numCache>
                <c:ptCount val="102"/>
                <c:pt idx="0">
                  <c:v>-578253.9036741485</c:v>
                </c:pt>
                <c:pt idx="1">
                  <c:v>-578229.6515066847</c:v>
                </c:pt>
                <c:pt idx="2">
                  <c:v>-578169.0210880254</c:v>
                </c:pt>
                <c:pt idx="3">
                  <c:v>-578050.1854674532</c:v>
                </c:pt>
                <c:pt idx="4">
                  <c:v>-577853.742910997</c:v>
                </c:pt>
                <c:pt idx="5">
                  <c:v>-577560.291684686</c:v>
                </c:pt>
                <c:pt idx="6">
                  <c:v>-577150.4300545489</c:v>
                </c:pt>
                <c:pt idx="7">
                  <c:v>-576604.756286615</c:v>
                </c:pt>
                <c:pt idx="8">
                  <c:v>-575903.8686469134</c:v>
                </c:pt>
                <c:pt idx="9">
                  <c:v>-575028.3654014729</c:v>
                </c:pt>
                <c:pt idx="10">
                  <c:v>-573958.8448163227</c:v>
                </c:pt>
                <c:pt idx="11">
                  <c:v>-572675.9051574916</c:v>
                </c:pt>
                <c:pt idx="12">
                  <c:v>-571160.1446910086</c:v>
                </c:pt>
                <c:pt idx="13">
                  <c:v>-569392.1616829031</c:v>
                </c:pt>
                <c:pt idx="14">
                  <c:v>-567352.5543992037</c:v>
                </c:pt>
                <c:pt idx="15">
                  <c:v>-565021.9211059397</c:v>
                </c:pt>
                <c:pt idx="16">
                  <c:v>-562380.8600691399</c:v>
                </c:pt>
                <c:pt idx="17">
                  <c:v>-559409.9695548334</c:v>
                </c:pt>
                <c:pt idx="18">
                  <c:v>-556089.8478290495</c:v>
                </c:pt>
                <c:pt idx="19">
                  <c:v>-552401.0931578167</c:v>
                </c:pt>
                <c:pt idx="20">
                  <c:v>-548324.3038071643</c:v>
                </c:pt>
                <c:pt idx="21">
                  <c:v>-543840.0780431214</c:v>
                </c:pt>
                <c:pt idx="22">
                  <c:v>-538929.0141317169</c:v>
                </c:pt>
                <c:pt idx="23">
                  <c:v>-533571.71033898</c:v>
                </c:pt>
                <c:pt idx="24">
                  <c:v>-528909.9685638885</c:v>
                </c:pt>
                <c:pt idx="25">
                  <c:v>-523881.51463431853</c:v>
                </c:pt>
                <c:pt idx="26">
                  <c:v>-518472.51035576157</c:v>
                </c:pt>
                <c:pt idx="27">
                  <c:v>-512669.117533709</c:v>
                </c:pt>
                <c:pt idx="28">
                  <c:v>-506457.49797365215</c:v>
                </c:pt>
                <c:pt idx="29">
                  <c:v>-499823.81348108227</c:v>
                </c:pt>
                <c:pt idx="30">
                  <c:v>-462119.3461765951</c:v>
                </c:pt>
                <c:pt idx="31">
                  <c:v>-422016.2584906137</c:v>
                </c:pt>
                <c:pt idx="32">
                  <c:v>-379440.7467190922</c:v>
                </c:pt>
                <c:pt idx="33">
                  <c:v>-334319.0071579846</c:v>
                </c:pt>
                <c:pt idx="34">
                  <c:v>-286577.2361032448</c:v>
                </c:pt>
                <c:pt idx="35">
                  <c:v>-236141.62985082695</c:v>
                </c:pt>
                <c:pt idx="36">
                  <c:v>-182938.38469668507</c:v>
                </c:pt>
                <c:pt idx="37">
                  <c:v>-126893.6969367732</c:v>
                </c:pt>
                <c:pt idx="38">
                  <c:v>-67933.76286704524</c:v>
                </c:pt>
                <c:pt idx="39">
                  <c:v>-5984.778783455375</c:v>
                </c:pt>
                <c:pt idx="40">
                  <c:v>58638.60207824092</c:v>
                </c:pt>
                <c:pt idx="41">
                  <c:v>125592.95189415471</c:v>
                </c:pt>
                <c:pt idx="42">
                  <c:v>194913.7082508207</c:v>
                </c:pt>
                <c:pt idx="43">
                  <c:v>266636.3087347736</c:v>
                </c:pt>
                <c:pt idx="44">
                  <c:v>340796.1909325481</c:v>
                </c:pt>
                <c:pt idx="45">
                  <c:v>417428.7924306789</c:v>
                </c:pt>
                <c:pt idx="46">
                  <c:v>496569.5508157008</c:v>
                </c:pt>
                <c:pt idx="47">
                  <c:v>578253.9036741485</c:v>
                </c:pt>
                <c:pt idx="48">
                  <c:v>578253.9036741485</c:v>
                </c:pt>
                <c:pt idx="49">
                  <c:v>578253.9036741485</c:v>
                </c:pt>
                <c:pt idx="50">
                  <c:v>578253.9036741485</c:v>
                </c:pt>
                <c:pt idx="51">
                  <c:v>578253.9036741485</c:v>
                </c:pt>
                <c:pt idx="52">
                  <c:v>578253.9036741485</c:v>
                </c:pt>
                <c:pt idx="53">
                  <c:v>578253.9036741485</c:v>
                </c:pt>
                <c:pt idx="54">
                  <c:v>578253.9036741485</c:v>
                </c:pt>
                <c:pt idx="55">
                  <c:v>578253.9036741485</c:v>
                </c:pt>
                <c:pt idx="56">
                  <c:v>578253.9036741485</c:v>
                </c:pt>
                <c:pt idx="57">
                  <c:v>578253.9036741485</c:v>
                </c:pt>
                <c:pt idx="58">
                  <c:v>578253.9036741485</c:v>
                </c:pt>
                <c:pt idx="59">
                  <c:v>578253.9036741485</c:v>
                </c:pt>
                <c:pt idx="60">
                  <c:v>578253.9036741485</c:v>
                </c:pt>
                <c:pt idx="61">
                  <c:v>578253.9036741485</c:v>
                </c:pt>
                <c:pt idx="62">
                  <c:v>578253.9036741485</c:v>
                </c:pt>
                <c:pt idx="63">
                  <c:v>578253.9036741485</c:v>
                </c:pt>
                <c:pt idx="64">
                  <c:v>578253.9036741485</c:v>
                </c:pt>
                <c:pt idx="65">
                  <c:v>578253.9036741485</c:v>
                </c:pt>
                <c:pt idx="66">
                  <c:v>578253.9036741485</c:v>
                </c:pt>
                <c:pt idx="67">
                  <c:v>578253.9036741485</c:v>
                </c:pt>
                <c:pt idx="68">
                  <c:v>578253.9036741485</c:v>
                </c:pt>
                <c:pt idx="69">
                  <c:v>578253.9036741485</c:v>
                </c:pt>
                <c:pt idx="70">
                  <c:v>578253.9036741485</c:v>
                </c:pt>
                <c:pt idx="71">
                  <c:v>578253.9036741485</c:v>
                </c:pt>
                <c:pt idx="72">
                  <c:v>578253.9036741485</c:v>
                </c:pt>
                <c:pt idx="73">
                  <c:v>578253.9036741485</c:v>
                </c:pt>
                <c:pt idx="74">
                  <c:v>578253.9036741485</c:v>
                </c:pt>
                <c:pt idx="75">
                  <c:v>578253.9036741485</c:v>
                </c:pt>
                <c:pt idx="76">
                  <c:v>578253.9036741485</c:v>
                </c:pt>
                <c:pt idx="77">
                  <c:v>578253.9036741485</c:v>
                </c:pt>
                <c:pt idx="78">
                  <c:v>578253.9036741485</c:v>
                </c:pt>
                <c:pt idx="79">
                  <c:v>578253.9036741485</c:v>
                </c:pt>
                <c:pt idx="80">
                  <c:v>578253.9036741485</c:v>
                </c:pt>
                <c:pt idx="81">
                  <c:v>578253.9036741485</c:v>
                </c:pt>
                <c:pt idx="82">
                  <c:v>578253.9036741485</c:v>
                </c:pt>
                <c:pt idx="83">
                  <c:v>578253.9036741485</c:v>
                </c:pt>
                <c:pt idx="84">
                  <c:v>578253.9036741485</c:v>
                </c:pt>
                <c:pt idx="85">
                  <c:v>578253.9036741485</c:v>
                </c:pt>
                <c:pt idx="86">
                  <c:v>578253.9036741485</c:v>
                </c:pt>
                <c:pt idx="87">
                  <c:v>578253.9036741485</c:v>
                </c:pt>
                <c:pt idx="88">
                  <c:v>578253.9036741485</c:v>
                </c:pt>
                <c:pt idx="89">
                  <c:v>578253.9036741485</c:v>
                </c:pt>
                <c:pt idx="90">
                  <c:v>578253.9036741485</c:v>
                </c:pt>
                <c:pt idx="91">
                  <c:v>578253.9036741485</c:v>
                </c:pt>
                <c:pt idx="92">
                  <c:v>578253.9036741485</c:v>
                </c:pt>
                <c:pt idx="93">
                  <c:v>578253.9036741485</c:v>
                </c:pt>
                <c:pt idx="94">
                  <c:v>578253.9036741485</c:v>
                </c:pt>
                <c:pt idx="95">
                  <c:v>578253.9036741485</c:v>
                </c:pt>
                <c:pt idx="96">
                  <c:v>578253.9036741485</c:v>
                </c:pt>
                <c:pt idx="97">
                  <c:v>578253.9036741485</c:v>
                </c:pt>
                <c:pt idx="98">
                  <c:v>578253.9036741485</c:v>
                </c:pt>
                <c:pt idx="99">
                  <c:v>578253.9036741485</c:v>
                </c:pt>
                <c:pt idx="100">
                  <c:v>578253.9036741485</c:v>
                </c:pt>
                <c:pt idx="101">
                  <c:v>578253.9036741485</c:v>
                </c:pt>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FF0000"/>
              </a:solidFill>
              <a:ln>
                <a:solidFill>
                  <a:srgbClr val="FF0000"/>
                </a:solidFill>
              </a:ln>
            </c:spPr>
          </c:marker>
          <c:xVal>
            <c:numRef>
              <c:f>'Lateral Strength Assessment - U'!$D$34</c:f>
              <c:numCache>
                <c:ptCount val="1"/>
                <c:pt idx="0">
                  <c:v>1190</c:v>
                </c:pt>
              </c:numCache>
            </c:numRef>
          </c:xVal>
          <c:yVal>
            <c:numRef>
              <c:f>'Lateral Strength Assessment - U'!$D$33</c:f>
              <c:numCache>
                <c:ptCount val="1"/>
                <c:pt idx="0">
                  <c:v>23800</c:v>
                </c:pt>
              </c:numCache>
            </c:numRef>
          </c:yVal>
          <c:smooth val="1"/>
        </c:ser>
        <c:ser>
          <c:idx val="3"/>
          <c:order val="3"/>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0000FF"/>
              </a:solidFill>
              <a:ln>
                <a:solidFill>
                  <a:srgbClr val="0000FF"/>
                </a:solidFill>
              </a:ln>
            </c:spPr>
          </c:marker>
          <c:xVal>
            <c:numRef>
              <c:f>'Lateral Strength Assessment - U'!$D$37</c:f>
              <c:numCache>
                <c:ptCount val="1"/>
                <c:pt idx="0">
                  <c:v>1694.111603014635</c:v>
                </c:pt>
              </c:numCache>
            </c:numRef>
          </c:xVal>
          <c:yVal>
            <c:numRef>
              <c:f>'Lateral Strength Assessment - U'!$D$38</c:f>
              <c:numCache>
                <c:ptCount val="1"/>
                <c:pt idx="0">
                  <c:v>33882.2320602927</c:v>
                </c:pt>
              </c:numCache>
            </c:numRef>
          </c:yVal>
          <c:smooth val="1"/>
        </c:ser>
        <c:axId val="20828068"/>
        <c:axId val="53234885"/>
      </c:scatterChart>
      <c:valAx>
        <c:axId val="20828068"/>
        <c:scaling>
          <c:orientation val="minMax"/>
        </c:scaling>
        <c:axPos val="b"/>
        <c:title>
          <c:tx>
            <c:rich>
              <a:bodyPr vert="horz" rot="0" anchor="ctr"/>
              <a:lstStyle/>
              <a:p>
                <a:pPr algn="ctr">
                  <a:defRPr/>
                </a:pPr>
                <a:r>
                  <a:rPr lang="en-US" cap="none" sz="1000" b="1" i="0" u="none" baseline="0">
                    <a:latin typeface="Arial"/>
                    <a:ea typeface="Arial"/>
                    <a:cs typeface="Arial"/>
                  </a:rPr>
                  <a:t>Groundline Shear, lbf</a:t>
                </a:r>
              </a:p>
            </c:rich>
          </c:tx>
          <c:layout/>
          <c:overlay val="0"/>
          <c:spPr>
            <a:noFill/>
            <a:ln>
              <a:noFill/>
            </a:ln>
          </c:spPr>
        </c:title>
        <c:majorGridlines/>
        <c:delete val="0"/>
        <c:numFmt formatCode="General" sourceLinked="1"/>
        <c:majorTickMark val="out"/>
        <c:minorTickMark val="none"/>
        <c:tickLblPos val="nextTo"/>
        <c:crossAx val="53234885"/>
        <c:crosses val="max"/>
        <c:crossBetween val="midCat"/>
        <c:dispUnits/>
      </c:valAx>
      <c:valAx>
        <c:axId val="53234885"/>
        <c:scaling>
          <c:orientation val="minMax"/>
        </c:scaling>
        <c:axPos val="l"/>
        <c:title>
          <c:tx>
            <c:rich>
              <a:bodyPr vert="horz" rot="-5400000" anchor="ctr"/>
              <a:lstStyle/>
              <a:p>
                <a:pPr algn="ctr">
                  <a:defRPr/>
                </a:pPr>
                <a:r>
                  <a:rPr lang="en-US" cap="none" sz="1000" b="1" i="0" u="none" baseline="0">
                    <a:latin typeface="Arial"/>
                    <a:ea typeface="Arial"/>
                    <a:cs typeface="Arial"/>
                  </a:rPr>
                  <a:t>Groundline Bending Moment, lbf-in</a:t>
                </a:r>
              </a:p>
            </c:rich>
          </c:tx>
          <c:layout/>
          <c:overlay val="0"/>
          <c:spPr>
            <a:noFill/>
            <a:ln>
              <a:noFill/>
            </a:ln>
          </c:spPr>
        </c:title>
        <c:majorGridlines/>
        <c:delete val="0"/>
        <c:numFmt formatCode="General" sourceLinked="1"/>
        <c:majorTickMark val="out"/>
        <c:minorTickMark val="none"/>
        <c:tickLblPos val="nextTo"/>
        <c:crossAx val="20828068"/>
        <c:crosses val="max"/>
        <c:crossBetween val="midCat"/>
        <c:dispUnits/>
      </c:valAx>
      <c:spPr>
        <a:solidFill>
          <a:srgbClr val="FFFF99"/>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40</xdr:row>
      <xdr:rowOff>9525</xdr:rowOff>
    </xdr:from>
    <xdr:to>
      <xdr:col>4</xdr:col>
      <xdr:colOff>3190875</xdr:colOff>
      <xdr:row>78</xdr:row>
      <xdr:rowOff>28575</xdr:rowOff>
    </xdr:to>
    <xdr:graphicFrame>
      <xdr:nvGraphicFramePr>
        <xdr:cNvPr id="1" name="Chart 13"/>
        <xdr:cNvGraphicFramePr/>
      </xdr:nvGraphicFramePr>
      <xdr:xfrm>
        <a:off x="114300" y="8010525"/>
        <a:ext cx="9515475" cy="762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99"/>
  <sheetViews>
    <sheetView workbookViewId="0" topLeftCell="A1">
      <selection activeCell="A6" sqref="A6:B6"/>
    </sheetView>
  </sheetViews>
  <sheetFormatPr defaultColWidth="9.140625" defaultRowHeight="12.75"/>
  <cols>
    <col min="1" max="1" width="9.140625" style="29" customWidth="1"/>
    <col min="2" max="2" width="27.8515625" style="9" customWidth="1"/>
    <col min="3" max="3" width="63.7109375" style="9" customWidth="1"/>
  </cols>
  <sheetData>
    <row r="1" spans="1:3" ht="18" customHeight="1">
      <c r="A1" s="272" t="s">
        <v>646</v>
      </c>
      <c r="B1" s="279"/>
      <c r="C1" s="280"/>
    </row>
    <row r="2" spans="1:3" ht="59.25" customHeight="1">
      <c r="A2" s="288" t="s">
        <v>652</v>
      </c>
      <c r="B2" s="279"/>
      <c r="C2" s="280"/>
    </row>
    <row r="3" spans="1:3" ht="12.75">
      <c r="A3" s="267"/>
      <c r="B3" s="263"/>
      <c r="C3" s="263"/>
    </row>
    <row r="4" spans="1:3" ht="18">
      <c r="A4" s="282" t="s">
        <v>701</v>
      </c>
      <c r="B4" s="283"/>
      <c r="C4" s="283"/>
    </row>
    <row r="5" spans="1:3" ht="27.75" customHeight="1">
      <c r="A5" s="286" t="s">
        <v>718</v>
      </c>
      <c r="B5" s="269"/>
      <c r="C5" s="269"/>
    </row>
    <row r="6" spans="1:3" ht="12.75">
      <c r="A6" s="264" t="s">
        <v>699</v>
      </c>
      <c r="B6" s="264"/>
      <c r="C6" s="223" t="s">
        <v>700</v>
      </c>
    </row>
    <row r="7" spans="1:3" ht="12.75">
      <c r="A7" s="273" t="s">
        <v>38</v>
      </c>
      <c r="B7" s="274"/>
      <c r="C7" s="224" t="s">
        <v>717</v>
      </c>
    </row>
    <row r="8" spans="1:3" ht="12.75">
      <c r="A8" s="275" t="s">
        <v>39</v>
      </c>
      <c r="B8" s="274"/>
      <c r="C8" s="222" t="s">
        <v>496</v>
      </c>
    </row>
    <row r="9" spans="1:3" ht="12.75">
      <c r="A9" s="276" t="s">
        <v>40</v>
      </c>
      <c r="B9" s="274"/>
      <c r="C9" s="222" t="s">
        <v>44</v>
      </c>
    </row>
    <row r="10" spans="1:3" ht="12.75">
      <c r="A10" s="277" t="s">
        <v>41</v>
      </c>
      <c r="B10" s="274"/>
      <c r="C10" s="222" t="s">
        <v>45</v>
      </c>
    </row>
    <row r="11" spans="1:3" ht="12.75">
      <c r="A11" s="278" t="s">
        <v>42</v>
      </c>
      <c r="B11" s="274"/>
      <c r="C11" s="225" t="s">
        <v>361</v>
      </c>
    </row>
    <row r="12" spans="1:3" ht="12.75">
      <c r="A12" s="274" t="s">
        <v>43</v>
      </c>
      <c r="B12" s="274"/>
      <c r="C12" s="222" t="s">
        <v>702</v>
      </c>
    </row>
    <row r="13" spans="1:3" ht="12.75">
      <c r="A13" s="262"/>
      <c r="B13" s="262"/>
      <c r="C13" s="262"/>
    </row>
    <row r="14" spans="1:3" ht="18" customHeight="1">
      <c r="A14" s="272" t="s">
        <v>643</v>
      </c>
      <c r="B14" s="289"/>
      <c r="C14" s="290"/>
    </row>
    <row r="15" spans="1:3" s="28" customFormat="1" ht="48" customHeight="1">
      <c r="A15" s="288" t="s">
        <v>649</v>
      </c>
      <c r="B15" s="289"/>
      <c r="C15" s="290"/>
    </row>
    <row r="16" spans="1:3" ht="12.75">
      <c r="A16" s="270"/>
      <c r="B16" s="271"/>
      <c r="C16" s="271"/>
    </row>
    <row r="17" spans="1:3" ht="18" customHeight="1">
      <c r="A17" s="272" t="s">
        <v>644</v>
      </c>
      <c r="B17" s="289"/>
      <c r="C17" s="290"/>
    </row>
    <row r="18" spans="1:3" ht="50.25" customHeight="1">
      <c r="A18" s="288" t="s">
        <v>650</v>
      </c>
      <c r="B18" s="289"/>
      <c r="C18" s="290"/>
    </row>
    <row r="19" spans="1:3" ht="12.75">
      <c r="A19" s="267"/>
      <c r="B19" s="268"/>
      <c r="C19" s="268"/>
    </row>
    <row r="20" spans="1:3" ht="18" customHeight="1">
      <c r="A20" s="272" t="s">
        <v>645</v>
      </c>
      <c r="B20" s="289"/>
      <c r="C20" s="290"/>
    </row>
    <row r="21" spans="1:3" ht="63" customHeight="1">
      <c r="A21" s="288" t="s">
        <v>703</v>
      </c>
      <c r="B21" s="289"/>
      <c r="C21" s="290"/>
    </row>
    <row r="22" spans="1:3" ht="13.5" thickBot="1">
      <c r="A22" s="284"/>
      <c r="B22" s="281"/>
      <c r="C22" s="281"/>
    </row>
    <row r="23" spans="1:3" ht="18">
      <c r="A23" s="255" t="s">
        <v>651</v>
      </c>
      <c r="B23" s="256"/>
      <c r="C23" s="257"/>
    </row>
    <row r="24" spans="1:3" ht="12.75">
      <c r="A24" s="226" t="s">
        <v>653</v>
      </c>
      <c r="B24" s="226" t="s">
        <v>654</v>
      </c>
      <c r="C24" s="227" t="s">
        <v>655</v>
      </c>
    </row>
    <row r="25" spans="1:3" ht="12.75">
      <c r="A25" s="228">
        <v>1</v>
      </c>
      <c r="B25" s="221" t="s">
        <v>656</v>
      </c>
      <c r="C25" s="221" t="s">
        <v>657</v>
      </c>
    </row>
    <row r="26" spans="1:3" ht="25.5">
      <c r="A26" s="228">
        <v>2</v>
      </c>
      <c r="B26" s="221" t="s">
        <v>658</v>
      </c>
      <c r="C26" s="221" t="s">
        <v>698</v>
      </c>
    </row>
    <row r="27" spans="1:3" ht="38.25">
      <c r="A27" s="228">
        <v>3</v>
      </c>
      <c r="B27" s="221" t="s">
        <v>592</v>
      </c>
      <c r="C27" s="221" t="s">
        <v>659</v>
      </c>
    </row>
    <row r="28" spans="1:3" ht="12.75">
      <c r="A28" s="228">
        <v>4</v>
      </c>
      <c r="B28" s="221" t="s">
        <v>719</v>
      </c>
      <c r="C28" s="221" t="s">
        <v>660</v>
      </c>
    </row>
    <row r="29" spans="1:3" ht="51">
      <c r="A29" s="228">
        <v>5</v>
      </c>
      <c r="B29" s="221" t="s">
        <v>661</v>
      </c>
      <c r="C29" s="221" t="s">
        <v>688</v>
      </c>
    </row>
    <row r="30" spans="1:3" ht="25.5">
      <c r="A30" s="228">
        <v>6</v>
      </c>
      <c r="B30" s="221" t="s">
        <v>662</v>
      </c>
      <c r="C30" s="221" t="s">
        <v>663</v>
      </c>
    </row>
    <row r="31" spans="1:3" ht="25.5">
      <c r="A31" s="228">
        <v>7</v>
      </c>
      <c r="B31" s="221" t="s">
        <v>664</v>
      </c>
      <c r="C31" s="221" t="s">
        <v>665</v>
      </c>
    </row>
    <row r="32" spans="1:3" ht="12.75">
      <c r="A32" s="228">
        <v>8</v>
      </c>
      <c r="B32" s="221" t="s">
        <v>666</v>
      </c>
      <c r="C32" s="221" t="s">
        <v>667</v>
      </c>
    </row>
    <row r="33" spans="1:3" ht="25.5">
      <c r="A33" s="228">
        <v>9</v>
      </c>
      <c r="B33" s="221" t="s">
        <v>668</v>
      </c>
      <c r="C33" s="221" t="s">
        <v>675</v>
      </c>
    </row>
    <row r="34" spans="1:3" ht="25.5">
      <c r="A34" s="228">
        <v>10</v>
      </c>
      <c r="B34" s="221" t="s">
        <v>676</v>
      </c>
      <c r="C34" s="221" t="s">
        <v>677</v>
      </c>
    </row>
    <row r="35" spans="1:3" ht="38.25">
      <c r="A35" s="228">
        <v>11</v>
      </c>
      <c r="B35" s="221" t="s">
        <v>678</v>
      </c>
      <c r="C35" s="221" t="s">
        <v>679</v>
      </c>
    </row>
    <row r="36" spans="1:3" ht="25.5">
      <c r="A36" s="228">
        <v>12</v>
      </c>
      <c r="B36" s="221" t="s">
        <v>680</v>
      </c>
      <c r="C36" s="221" t="s">
        <v>683</v>
      </c>
    </row>
    <row r="37" spans="1:3" ht="12.75">
      <c r="A37" s="228">
        <v>13</v>
      </c>
      <c r="B37" s="221" t="s">
        <v>684</v>
      </c>
      <c r="C37" s="221" t="s">
        <v>685</v>
      </c>
    </row>
    <row r="38" spans="1:3" ht="25.5">
      <c r="A38" s="228">
        <v>14</v>
      </c>
      <c r="B38" s="221" t="s">
        <v>686</v>
      </c>
      <c r="C38" s="221" t="s">
        <v>687</v>
      </c>
    </row>
    <row r="39" spans="1:3" ht="12.75">
      <c r="A39" s="229"/>
      <c r="B39" s="230"/>
      <c r="C39" s="230"/>
    </row>
    <row r="40" spans="1:3" ht="18">
      <c r="A40" s="272" t="s">
        <v>689</v>
      </c>
      <c r="B40" s="258"/>
      <c r="C40" s="259"/>
    </row>
    <row r="41" spans="1:3" ht="33" customHeight="1">
      <c r="A41" s="287" t="s">
        <v>704</v>
      </c>
      <c r="B41" s="289"/>
      <c r="C41" s="290"/>
    </row>
    <row r="42" spans="1:3" ht="12.75">
      <c r="A42" s="284"/>
      <c r="B42" s="260"/>
      <c r="C42" s="260"/>
    </row>
    <row r="43" spans="1:3" ht="18">
      <c r="A43" s="252" t="s">
        <v>690</v>
      </c>
      <c r="B43" s="252"/>
      <c r="C43" s="252"/>
    </row>
    <row r="44" spans="1:3" ht="12.75">
      <c r="A44" s="291" t="s">
        <v>647</v>
      </c>
      <c r="B44" s="291"/>
      <c r="C44" s="223" t="s">
        <v>648</v>
      </c>
    </row>
    <row r="45" spans="1:3" s="1" customFormat="1" ht="25.5">
      <c r="A45" s="285" t="s">
        <v>691</v>
      </c>
      <c r="B45" s="285"/>
      <c r="C45" s="231" t="s">
        <v>695</v>
      </c>
    </row>
    <row r="46" spans="1:3" ht="38.25">
      <c r="A46" s="286" t="s">
        <v>694</v>
      </c>
      <c r="B46" s="285"/>
      <c r="C46" s="232" t="s">
        <v>705</v>
      </c>
    </row>
    <row r="47" spans="1:3" ht="69.75" customHeight="1">
      <c r="A47" s="286" t="s">
        <v>692</v>
      </c>
      <c r="B47" s="285"/>
      <c r="C47" s="232" t="s">
        <v>711</v>
      </c>
    </row>
    <row r="48" spans="1:3" ht="44.25" customHeight="1">
      <c r="A48" s="286" t="s">
        <v>706</v>
      </c>
      <c r="B48" s="285"/>
      <c r="C48" s="231" t="s">
        <v>710</v>
      </c>
    </row>
    <row r="49" spans="1:3" ht="57.75" customHeight="1">
      <c r="A49" s="286" t="s">
        <v>697</v>
      </c>
      <c r="B49" s="285"/>
      <c r="C49" s="231" t="s">
        <v>708</v>
      </c>
    </row>
    <row r="50" spans="1:3" ht="58.5" customHeight="1">
      <c r="A50" s="286" t="s">
        <v>693</v>
      </c>
      <c r="B50" s="285"/>
      <c r="C50" s="231" t="s">
        <v>709</v>
      </c>
    </row>
    <row r="51" spans="1:3" ht="51">
      <c r="A51" s="286" t="s">
        <v>696</v>
      </c>
      <c r="B51" s="285"/>
      <c r="C51" s="231" t="s">
        <v>707</v>
      </c>
    </row>
    <row r="52" spans="1:3" ht="12.75">
      <c r="A52" s="233"/>
      <c r="B52" s="95"/>
      <c r="C52" s="95"/>
    </row>
    <row r="53" spans="1:3" ht="18">
      <c r="A53" s="265" t="s">
        <v>713</v>
      </c>
      <c r="B53" s="266"/>
      <c r="C53" s="254"/>
    </row>
    <row r="54" spans="1:3" ht="42" customHeight="1">
      <c r="A54" s="288" t="s">
        <v>714</v>
      </c>
      <c r="B54" s="289"/>
      <c r="C54" s="290"/>
    </row>
    <row r="55" spans="1:3" ht="12.75">
      <c r="A55" s="244"/>
      <c r="B55" s="260"/>
      <c r="C55" s="260"/>
    </row>
    <row r="56" spans="1:3" ht="18">
      <c r="A56" s="245" t="s">
        <v>715</v>
      </c>
      <c r="B56" s="246"/>
      <c r="C56" s="247"/>
    </row>
    <row r="57" spans="1:3" ht="40.5" customHeight="1">
      <c r="A57" s="253" t="s">
        <v>716</v>
      </c>
      <c r="B57" s="242"/>
      <c r="C57" s="243"/>
    </row>
    <row r="58" ht="12.75">
      <c r="A58" s="30"/>
    </row>
    <row r="59" ht="12.75">
      <c r="A59" s="30"/>
    </row>
    <row r="60" ht="12.75">
      <c r="A60" s="30"/>
    </row>
    <row r="61" ht="12.75">
      <c r="A61" s="30"/>
    </row>
    <row r="62" ht="12.75">
      <c r="A62" s="30"/>
    </row>
    <row r="63" ht="12.75">
      <c r="A63" s="30"/>
    </row>
    <row r="64" ht="12.75">
      <c r="A64" s="30"/>
    </row>
    <row r="65" ht="12.75">
      <c r="A65" s="30"/>
    </row>
    <row r="66" ht="12.75">
      <c r="A66" s="30"/>
    </row>
    <row r="67" spans="1:3" ht="12.75">
      <c r="A67" s="30"/>
      <c r="B67" s="261"/>
      <c r="C67" s="261"/>
    </row>
    <row r="68" spans="1:3" ht="12.75">
      <c r="A68" s="30"/>
      <c r="B68" s="261"/>
      <c r="C68" s="261"/>
    </row>
    <row r="69" spans="1:3" ht="12.75">
      <c r="A69" s="30"/>
      <c r="B69" s="261"/>
      <c r="C69" s="261"/>
    </row>
    <row r="70" spans="1:3" ht="12.75">
      <c r="A70" s="30"/>
      <c r="B70" s="261"/>
      <c r="C70" s="261"/>
    </row>
    <row r="71" ht="12.75">
      <c r="A71" s="30"/>
    </row>
    <row r="72" ht="12.75">
      <c r="A72" s="30"/>
    </row>
    <row r="73" ht="12.75">
      <c r="A73" s="30"/>
    </row>
    <row r="74" ht="12.75">
      <c r="A74" s="30"/>
    </row>
    <row r="75" spans="1:3" ht="12.75">
      <c r="A75" s="30"/>
      <c r="B75" s="261"/>
      <c r="C75" s="261"/>
    </row>
    <row r="76" ht="12.75">
      <c r="A76" s="30"/>
    </row>
    <row r="77" ht="12.75">
      <c r="A77" s="30"/>
    </row>
    <row r="78" ht="12.75">
      <c r="A78" s="30"/>
    </row>
    <row r="79" ht="12.75">
      <c r="A79" s="30"/>
    </row>
    <row r="80" ht="12.75">
      <c r="A80" s="30"/>
    </row>
    <row r="81" ht="12.75">
      <c r="A81" s="30"/>
    </row>
    <row r="82" spans="1:3" ht="12.75">
      <c r="A82" s="30"/>
      <c r="B82" s="261"/>
      <c r="C82" s="261"/>
    </row>
    <row r="83" ht="12.75">
      <c r="A83" s="30"/>
    </row>
    <row r="84" ht="12.75">
      <c r="A84" s="30"/>
    </row>
    <row r="85" ht="12.75">
      <c r="A85" s="30"/>
    </row>
    <row r="86" ht="12.75">
      <c r="A86" s="30"/>
    </row>
    <row r="87" ht="12.75">
      <c r="A87" s="30"/>
    </row>
    <row r="88" ht="12.75">
      <c r="A88" s="30"/>
    </row>
    <row r="89" ht="12.75">
      <c r="A89" s="30"/>
    </row>
    <row r="90" spans="1:3" ht="12.75">
      <c r="A90" s="30"/>
      <c r="B90" s="261"/>
      <c r="C90" s="261"/>
    </row>
    <row r="91" spans="1:3" ht="12.75">
      <c r="A91" s="30"/>
      <c r="B91" s="261"/>
      <c r="C91" s="261"/>
    </row>
    <row r="92" spans="1:3" ht="12.75">
      <c r="A92" s="30"/>
      <c r="B92" s="261"/>
      <c r="C92" s="261"/>
    </row>
    <row r="93" spans="1:3" ht="12.75">
      <c r="A93" s="30"/>
      <c r="B93" s="2"/>
      <c r="C93" s="2"/>
    </row>
    <row r="94" spans="1:3" ht="24.75" customHeight="1">
      <c r="A94" s="30"/>
      <c r="B94" s="2"/>
      <c r="C94" s="2"/>
    </row>
    <row r="95" spans="1:3" ht="12.75">
      <c r="A95" s="30"/>
      <c r="B95" s="2"/>
      <c r="C95" s="2"/>
    </row>
    <row r="96" ht="12.75">
      <c r="A96" s="30"/>
    </row>
    <row r="97" ht="12.75">
      <c r="A97" s="30"/>
    </row>
    <row r="98" ht="12.75">
      <c r="A98" s="30"/>
    </row>
    <row r="99" ht="12.75">
      <c r="A99" s="30"/>
    </row>
    <row r="100" ht="12.75">
      <c r="A100" s="30"/>
    </row>
    <row r="101" ht="12.75">
      <c r="A101" s="30"/>
    </row>
    <row r="102" ht="12.75">
      <c r="A102" s="30"/>
    </row>
    <row r="103" ht="12.75">
      <c r="A103" s="30"/>
    </row>
    <row r="104" ht="12.75">
      <c r="A104" s="30"/>
    </row>
    <row r="105" ht="12.75">
      <c r="A105" s="30"/>
    </row>
    <row r="106" ht="12.75">
      <c r="A106" s="30"/>
    </row>
    <row r="107" ht="12.75">
      <c r="A107" s="30"/>
    </row>
    <row r="108" ht="12.75">
      <c r="A108" s="30"/>
    </row>
    <row r="109" spans="1:3" ht="12.75">
      <c r="A109" s="30"/>
      <c r="B109" s="261"/>
      <c r="C109" s="261"/>
    </row>
    <row r="110" spans="1:3" ht="12.75">
      <c r="A110" s="30"/>
      <c r="B110" s="261"/>
      <c r="C110" s="261"/>
    </row>
    <row r="111" spans="1:3" ht="12.75">
      <c r="A111" s="30"/>
      <c r="B111" s="261"/>
      <c r="C111" s="261"/>
    </row>
    <row r="112" spans="1:3" ht="12.75">
      <c r="A112" s="30"/>
      <c r="B112" s="261"/>
      <c r="C112" s="261"/>
    </row>
    <row r="113" spans="1:3" ht="12.75">
      <c r="A113" s="30"/>
      <c r="B113" s="261"/>
      <c r="C113" s="261"/>
    </row>
    <row r="114" spans="1:3" ht="12.75">
      <c r="A114" s="30"/>
      <c r="B114" s="261"/>
      <c r="C114" s="261"/>
    </row>
    <row r="115" spans="1:3" ht="12.75">
      <c r="A115" s="30"/>
      <c r="B115" s="261"/>
      <c r="C115" s="261"/>
    </row>
    <row r="116" ht="12.75">
      <c r="A116" s="30"/>
    </row>
    <row r="117" ht="12.75">
      <c r="A117" s="30"/>
    </row>
    <row r="118" ht="12.75">
      <c r="A118" s="30"/>
    </row>
    <row r="119" ht="12.75">
      <c r="A119" s="30"/>
    </row>
    <row r="120" ht="12.75">
      <c r="A120" s="30"/>
    </row>
    <row r="121" ht="12.75">
      <c r="A121" s="30"/>
    </row>
    <row r="122" ht="12.75">
      <c r="A122" s="30"/>
    </row>
    <row r="123" ht="12.75">
      <c r="A123" s="30"/>
    </row>
    <row r="124" ht="12.75">
      <c r="A124" s="30"/>
    </row>
    <row r="125" ht="12.75">
      <c r="A125" s="30"/>
    </row>
    <row r="126" ht="12.75">
      <c r="A126" s="30"/>
    </row>
    <row r="127" ht="12.75">
      <c r="A127" s="30"/>
    </row>
    <row r="128" ht="12.75">
      <c r="A128" s="30"/>
    </row>
    <row r="129" ht="12.75">
      <c r="A129" s="30"/>
    </row>
    <row r="130" ht="12.75">
      <c r="A130" s="30"/>
    </row>
    <row r="131" spans="1:3" ht="12.75">
      <c r="A131" s="30"/>
      <c r="B131" s="261"/>
      <c r="C131" s="261"/>
    </row>
    <row r="132" ht="12.75">
      <c r="A132" s="30"/>
    </row>
    <row r="133" ht="12.75">
      <c r="A133" s="30"/>
    </row>
    <row r="134" ht="12.75">
      <c r="A134" s="30"/>
    </row>
    <row r="135" ht="12.75">
      <c r="A135" s="30"/>
    </row>
    <row r="136" ht="12.75">
      <c r="A136" s="30"/>
    </row>
    <row r="137" ht="12.75">
      <c r="A137" s="30"/>
    </row>
    <row r="138" ht="12.75">
      <c r="A138" s="30"/>
    </row>
    <row r="139" ht="12.75">
      <c r="A139" s="30"/>
    </row>
    <row r="140" ht="12.75">
      <c r="A140" s="31"/>
    </row>
    <row r="141" ht="12.75">
      <c r="A141" s="31"/>
    </row>
    <row r="142" ht="12.75">
      <c r="A142" s="30"/>
    </row>
    <row r="143" ht="12.75">
      <c r="A143" s="30"/>
    </row>
    <row r="144" ht="12.75">
      <c r="A144" s="30"/>
    </row>
    <row r="145" ht="12.75">
      <c r="A145" s="30"/>
    </row>
    <row r="146" ht="12.75">
      <c r="A146" s="30"/>
    </row>
    <row r="147" ht="12.75">
      <c r="A147" s="30"/>
    </row>
    <row r="148" ht="12.75">
      <c r="A148" s="30"/>
    </row>
    <row r="149" ht="12.75">
      <c r="A149" s="30"/>
    </row>
    <row r="150" ht="12.75">
      <c r="A150" s="31"/>
    </row>
    <row r="151" ht="12.75">
      <c r="A151" s="31"/>
    </row>
    <row r="152" ht="12.75">
      <c r="A152" s="31"/>
    </row>
    <row r="153" ht="12.75">
      <c r="A153" s="31"/>
    </row>
    <row r="154" ht="12.75">
      <c r="A154" s="31"/>
    </row>
    <row r="155" ht="12.75">
      <c r="A155" s="31"/>
    </row>
    <row r="156" ht="12.75">
      <c r="A156" s="31"/>
    </row>
    <row r="157" ht="12.75">
      <c r="A157" s="31"/>
    </row>
    <row r="158" ht="12.75">
      <c r="A158" s="31"/>
    </row>
    <row r="159" ht="12.75">
      <c r="A159" s="31"/>
    </row>
    <row r="160" ht="12.75">
      <c r="A160" s="31"/>
    </row>
    <row r="161" ht="12.75">
      <c r="A161" s="31"/>
    </row>
    <row r="162" ht="12.75">
      <c r="A162" s="31"/>
    </row>
    <row r="163" ht="12.75">
      <c r="A163" s="31"/>
    </row>
    <row r="164" ht="12.75">
      <c r="A164" s="31"/>
    </row>
    <row r="165" ht="12.75">
      <c r="A165" s="31"/>
    </row>
    <row r="166" ht="12.75">
      <c r="A166" s="31"/>
    </row>
    <row r="167" ht="12.75">
      <c r="A167" s="31"/>
    </row>
    <row r="168" ht="12.75">
      <c r="A168" s="31"/>
    </row>
    <row r="169" ht="12.75">
      <c r="A169" s="31"/>
    </row>
    <row r="170" ht="12.75">
      <c r="A170" s="31"/>
    </row>
    <row r="171" ht="12.75">
      <c r="A171" s="31"/>
    </row>
    <row r="172" ht="12.75">
      <c r="A172" s="31"/>
    </row>
    <row r="173" ht="12.75">
      <c r="A173" s="31"/>
    </row>
    <row r="174" ht="12.75">
      <c r="A174" s="31"/>
    </row>
    <row r="175" ht="12.75">
      <c r="A175" s="31"/>
    </row>
    <row r="176" ht="12.75">
      <c r="A176" s="31"/>
    </row>
    <row r="177" ht="12.75">
      <c r="A177" s="31"/>
    </row>
    <row r="178" ht="12.75">
      <c r="A178" s="31"/>
    </row>
    <row r="179" ht="12.75">
      <c r="A179" s="31"/>
    </row>
    <row r="180" ht="12.75">
      <c r="A180" s="31"/>
    </row>
    <row r="181" ht="12.75">
      <c r="A181" s="31"/>
    </row>
    <row r="182" ht="12.75">
      <c r="A182" s="31"/>
    </row>
    <row r="183" ht="12.75">
      <c r="A183" s="31"/>
    </row>
    <row r="184" ht="12.75">
      <c r="A184" s="31"/>
    </row>
    <row r="185" ht="12.75">
      <c r="A185" s="31"/>
    </row>
    <row r="186" ht="12.75">
      <c r="A186" s="31"/>
    </row>
    <row r="187" ht="12.75">
      <c r="A187" s="31"/>
    </row>
    <row r="188" ht="12.75">
      <c r="A188" s="31"/>
    </row>
    <row r="189" ht="12.75">
      <c r="A189" s="31"/>
    </row>
    <row r="190" ht="12.75">
      <c r="A190" s="31"/>
    </row>
    <row r="191" ht="12.75">
      <c r="A191" s="31"/>
    </row>
    <row r="192" ht="12.75">
      <c r="A192" s="31"/>
    </row>
    <row r="193" ht="12.75">
      <c r="A193" s="31"/>
    </row>
    <row r="194" ht="12.75">
      <c r="A194" s="31"/>
    </row>
    <row r="195" ht="12.75">
      <c r="A195" s="31"/>
    </row>
    <row r="196" ht="12.75">
      <c r="A196" s="31"/>
    </row>
    <row r="197" ht="12.75">
      <c r="A197" s="31"/>
    </row>
    <row r="198" ht="12.75">
      <c r="A198" s="31"/>
    </row>
    <row r="199" ht="12.75">
      <c r="A199" s="31"/>
    </row>
    <row r="200" ht="12.75">
      <c r="A200" s="31"/>
    </row>
    <row r="201" ht="12.75">
      <c r="A201" s="31"/>
    </row>
    <row r="202" ht="12.75">
      <c r="A202" s="31"/>
    </row>
    <row r="203" ht="12.75">
      <c r="A203" s="31"/>
    </row>
    <row r="204" ht="12.75">
      <c r="A204" s="31"/>
    </row>
    <row r="205" ht="12.75">
      <c r="A205" s="31"/>
    </row>
    <row r="206" ht="12.75">
      <c r="A206" s="31"/>
    </row>
    <row r="207" ht="12.75">
      <c r="A207" s="31"/>
    </row>
    <row r="208" ht="12.75">
      <c r="A208" s="31"/>
    </row>
    <row r="209" ht="12.75">
      <c r="A209" s="31"/>
    </row>
    <row r="210" ht="12.75">
      <c r="A210" s="31"/>
    </row>
    <row r="211" ht="12.75">
      <c r="A211" s="31"/>
    </row>
    <row r="212" ht="12.75">
      <c r="A212" s="31"/>
    </row>
    <row r="213" ht="12.75">
      <c r="A213" s="31"/>
    </row>
    <row r="214" ht="12.75">
      <c r="A214" s="31"/>
    </row>
    <row r="215" ht="12.75">
      <c r="A215" s="31"/>
    </row>
    <row r="216" ht="12.75">
      <c r="A216" s="31"/>
    </row>
    <row r="217" ht="12.75">
      <c r="A217" s="31"/>
    </row>
    <row r="218" ht="12.75">
      <c r="A218" s="31"/>
    </row>
    <row r="219" ht="12.75">
      <c r="A219" s="31"/>
    </row>
    <row r="220" ht="12.75">
      <c r="A220" s="31"/>
    </row>
    <row r="221" ht="12.75">
      <c r="A221" s="31"/>
    </row>
    <row r="222" ht="12.75">
      <c r="A222" s="31"/>
    </row>
    <row r="223" ht="12.75">
      <c r="A223" s="31"/>
    </row>
    <row r="224" ht="12.75">
      <c r="A224" s="31"/>
    </row>
    <row r="225" ht="12.75">
      <c r="A225" s="31"/>
    </row>
    <row r="226" ht="12.75">
      <c r="A226" s="31"/>
    </row>
    <row r="227" ht="12.75">
      <c r="A227" s="31"/>
    </row>
    <row r="228" ht="12.75">
      <c r="A228" s="31"/>
    </row>
    <row r="229" ht="12.75">
      <c r="A229" s="31"/>
    </row>
    <row r="230" ht="12.75">
      <c r="A230" s="31"/>
    </row>
    <row r="231" ht="12.75">
      <c r="A231" s="31"/>
    </row>
    <row r="232" ht="12.75">
      <c r="A232" s="31"/>
    </row>
    <row r="233" ht="12.75">
      <c r="A233" s="31"/>
    </row>
    <row r="234" ht="12.75">
      <c r="A234" s="31"/>
    </row>
    <row r="235" ht="12.75">
      <c r="A235" s="31"/>
    </row>
    <row r="236" ht="12.75">
      <c r="A236" s="31"/>
    </row>
    <row r="237" ht="12.75">
      <c r="A237" s="31"/>
    </row>
    <row r="238" ht="12.75">
      <c r="A238" s="31"/>
    </row>
    <row r="239" ht="12.75">
      <c r="A239" s="31"/>
    </row>
    <row r="240" ht="12.75">
      <c r="A240" s="31"/>
    </row>
    <row r="241" ht="12.75">
      <c r="A241" s="31"/>
    </row>
    <row r="242" ht="12.75">
      <c r="A242" s="31"/>
    </row>
    <row r="243" ht="12.75">
      <c r="A243" s="31"/>
    </row>
    <row r="244" ht="12.75">
      <c r="A244" s="31"/>
    </row>
    <row r="245" ht="12.75">
      <c r="A245" s="31"/>
    </row>
    <row r="246" ht="12.75">
      <c r="A246" s="31"/>
    </row>
    <row r="247" ht="12.75">
      <c r="A247" s="31"/>
    </row>
    <row r="248" ht="12.75">
      <c r="A248" s="31"/>
    </row>
    <row r="249" ht="12.75">
      <c r="A249" s="31"/>
    </row>
    <row r="250" ht="12.75">
      <c r="A250" s="31"/>
    </row>
    <row r="251" ht="12.75">
      <c r="A251" s="31"/>
    </row>
    <row r="252" ht="12.75">
      <c r="A252" s="31"/>
    </row>
    <row r="253" ht="12.75">
      <c r="A253" s="31"/>
    </row>
    <row r="254" ht="12.75">
      <c r="A254" s="31"/>
    </row>
    <row r="255" ht="12.75">
      <c r="A255" s="31"/>
    </row>
    <row r="256" ht="12.75">
      <c r="A256" s="31"/>
    </row>
    <row r="257" ht="12.75">
      <c r="A257" s="31"/>
    </row>
    <row r="258" ht="12.75">
      <c r="A258" s="31"/>
    </row>
    <row r="259" ht="12.75">
      <c r="A259" s="31"/>
    </row>
    <row r="260" ht="12.75">
      <c r="A260" s="31"/>
    </row>
    <row r="261" ht="12.75">
      <c r="A261" s="31"/>
    </row>
    <row r="262" ht="12.75">
      <c r="A262" s="31"/>
    </row>
    <row r="263" ht="12.75">
      <c r="A263" s="31"/>
    </row>
    <row r="264" ht="12.75">
      <c r="A264" s="31"/>
    </row>
    <row r="265" ht="12.75">
      <c r="A265" s="31"/>
    </row>
    <row r="266" ht="12.75">
      <c r="A266" s="31"/>
    </row>
    <row r="267" ht="12.75">
      <c r="A267" s="31"/>
    </row>
    <row r="268" ht="12.75">
      <c r="A268" s="31"/>
    </row>
    <row r="269" ht="12.75">
      <c r="A269" s="31"/>
    </row>
    <row r="270" ht="12.75">
      <c r="A270" s="31"/>
    </row>
    <row r="271" ht="12.75">
      <c r="A271" s="31"/>
    </row>
    <row r="272" ht="12.75">
      <c r="A272" s="31"/>
    </row>
    <row r="273" ht="12.75">
      <c r="A273" s="31"/>
    </row>
    <row r="274" ht="12.75">
      <c r="A274" s="31"/>
    </row>
    <row r="275" ht="12.75">
      <c r="A275" s="31"/>
    </row>
    <row r="276" ht="12.75">
      <c r="A276" s="31"/>
    </row>
    <row r="277" ht="12.75">
      <c r="A277" s="31"/>
    </row>
    <row r="278" ht="12.75">
      <c r="A278" s="31"/>
    </row>
    <row r="279" ht="12.75">
      <c r="A279" s="31"/>
    </row>
    <row r="280" ht="12.75">
      <c r="A280" s="31"/>
    </row>
    <row r="281" ht="12.75">
      <c r="A281" s="31"/>
    </row>
    <row r="282" ht="12.75">
      <c r="A282" s="31"/>
    </row>
    <row r="283" ht="12.75">
      <c r="A283" s="31"/>
    </row>
    <row r="284" ht="12.75">
      <c r="A284" s="31"/>
    </row>
    <row r="285" ht="12.75">
      <c r="A285" s="31"/>
    </row>
    <row r="286" ht="12.75">
      <c r="A286" s="31"/>
    </row>
    <row r="287" ht="12.75">
      <c r="A287" s="31"/>
    </row>
    <row r="288" ht="12.75">
      <c r="A288" s="31"/>
    </row>
    <row r="289" ht="12.75">
      <c r="A289" s="31"/>
    </row>
    <row r="290" ht="12.75">
      <c r="A290" s="31"/>
    </row>
    <row r="291" ht="12.75">
      <c r="A291" s="31"/>
    </row>
    <row r="292" ht="12.75">
      <c r="A292" s="31"/>
    </row>
    <row r="293" ht="12.75">
      <c r="A293" s="31"/>
    </row>
    <row r="294" ht="12.75">
      <c r="A294" s="31"/>
    </row>
    <row r="295" ht="12.75">
      <c r="A295" s="31"/>
    </row>
    <row r="296" ht="12.75">
      <c r="A296" s="31"/>
    </row>
    <row r="297" ht="12.75">
      <c r="A297" s="31"/>
    </row>
    <row r="298" ht="12.75">
      <c r="A298" s="31"/>
    </row>
    <row r="299" ht="12.75">
      <c r="A299" s="31"/>
    </row>
  </sheetData>
  <sheetProtection sheet="1" objects="1" scenarios="1" selectLockedCells="1" selectUnlockedCells="1"/>
  <mergeCells count="57">
    <mergeCell ref="B67:C67"/>
    <mergeCell ref="B68:C68"/>
    <mergeCell ref="B69:C69"/>
    <mergeCell ref="B70:C70"/>
    <mergeCell ref="B131:C131"/>
    <mergeCell ref="B109:C109"/>
    <mergeCell ref="B110:C110"/>
    <mergeCell ref="B111:C111"/>
    <mergeCell ref="B112:C112"/>
    <mergeCell ref="B113:C113"/>
    <mergeCell ref="B114:C114"/>
    <mergeCell ref="B115:C115"/>
    <mergeCell ref="B90:C90"/>
    <mergeCell ref="B91:C91"/>
    <mergeCell ref="B92:C92"/>
    <mergeCell ref="A43:C43"/>
    <mergeCell ref="A57:C57"/>
    <mergeCell ref="A54:C54"/>
    <mergeCell ref="A55:C55"/>
    <mergeCell ref="A56:C56"/>
    <mergeCell ref="B82:C82"/>
    <mergeCell ref="B75:C75"/>
    <mergeCell ref="A53:C53"/>
    <mergeCell ref="A23:C23"/>
    <mergeCell ref="A40:C40"/>
    <mergeCell ref="A51:B51"/>
    <mergeCell ref="A47:B47"/>
    <mergeCell ref="A42:C42"/>
    <mergeCell ref="A48:B48"/>
    <mergeCell ref="A49:B49"/>
    <mergeCell ref="A50:B50"/>
    <mergeCell ref="A1:C1"/>
    <mergeCell ref="A2:C2"/>
    <mergeCell ref="A19:C19"/>
    <mergeCell ref="A13:C13"/>
    <mergeCell ref="A3:C3"/>
    <mergeCell ref="A14:C14"/>
    <mergeCell ref="A15:C15"/>
    <mergeCell ref="A17:C17"/>
    <mergeCell ref="A18:C18"/>
    <mergeCell ref="A6:B6"/>
    <mergeCell ref="A4:C4"/>
    <mergeCell ref="A5:C5"/>
    <mergeCell ref="A16:C16"/>
    <mergeCell ref="A20:C20"/>
    <mergeCell ref="A7:B7"/>
    <mergeCell ref="A8:B8"/>
    <mergeCell ref="A9:B9"/>
    <mergeCell ref="A10:B10"/>
    <mergeCell ref="A11:B11"/>
    <mergeCell ref="A12:B12"/>
    <mergeCell ref="A21:C21"/>
    <mergeCell ref="A44:B44"/>
    <mergeCell ref="A45:B45"/>
    <mergeCell ref="A46:B46"/>
    <mergeCell ref="A41:C41"/>
    <mergeCell ref="A22:C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67"/>
  <sheetViews>
    <sheetView workbookViewId="0" topLeftCell="A1">
      <selection activeCell="A1" sqref="A1:IV16384"/>
    </sheetView>
  </sheetViews>
  <sheetFormatPr defaultColWidth="9.140625" defaultRowHeight="12.75"/>
  <cols>
    <col min="1" max="1" width="27.8515625" style="177" customWidth="1"/>
    <col min="2" max="2" width="107.8515625" style="177" customWidth="1"/>
  </cols>
  <sheetData>
    <row r="1" spans="1:2" ht="15.75">
      <c r="A1" s="215"/>
      <c r="B1" s="215"/>
    </row>
    <row r="2" spans="1:2" ht="18" customHeight="1">
      <c r="A2" s="293" t="s">
        <v>638</v>
      </c>
      <c r="B2" s="294"/>
    </row>
    <row r="3" spans="1:2" ht="12.75">
      <c r="A3" s="217" t="s">
        <v>891</v>
      </c>
      <c r="B3" s="216" t="s">
        <v>607</v>
      </c>
    </row>
    <row r="4" spans="1:2" ht="25.5">
      <c r="A4" s="217" t="s">
        <v>892</v>
      </c>
      <c r="B4" s="216" t="s">
        <v>606</v>
      </c>
    </row>
    <row r="5" spans="1:2" ht="25.5">
      <c r="A5" s="217" t="s">
        <v>893</v>
      </c>
      <c r="B5" s="216" t="s">
        <v>605</v>
      </c>
    </row>
    <row r="6" spans="1:2" ht="51">
      <c r="A6" s="217" t="s">
        <v>894</v>
      </c>
      <c r="B6" s="216" t="s">
        <v>884</v>
      </c>
    </row>
    <row r="7" spans="1:2" ht="38.25">
      <c r="A7" s="217" t="s">
        <v>895</v>
      </c>
      <c r="B7" s="216" t="s">
        <v>604</v>
      </c>
    </row>
    <row r="8" spans="1:2" ht="25.5">
      <c r="A8" s="217" t="s">
        <v>896</v>
      </c>
      <c r="B8" s="216" t="s">
        <v>603</v>
      </c>
    </row>
    <row r="9" spans="1:2" ht="63.75">
      <c r="A9" s="217" t="s">
        <v>897</v>
      </c>
      <c r="B9" s="216" t="s">
        <v>602</v>
      </c>
    </row>
    <row r="10" spans="1:2" ht="25.5">
      <c r="A10" s="217" t="s">
        <v>898</v>
      </c>
      <c r="B10" s="216" t="s">
        <v>885</v>
      </c>
    </row>
    <row r="11" spans="1:2" ht="38.25">
      <c r="A11" s="217" t="s">
        <v>899</v>
      </c>
      <c r="B11" s="216" t="s">
        <v>886</v>
      </c>
    </row>
    <row r="12" spans="1:2" ht="16.5" customHeight="1">
      <c r="A12" s="217" t="s">
        <v>900</v>
      </c>
      <c r="B12" s="216" t="s">
        <v>600</v>
      </c>
    </row>
    <row r="13" spans="1:2" ht="24.75" customHeight="1">
      <c r="A13" s="217" t="s">
        <v>901</v>
      </c>
      <c r="B13" s="216" t="s">
        <v>601</v>
      </c>
    </row>
    <row r="14" spans="1:2" ht="25.5">
      <c r="A14" s="217" t="s">
        <v>902</v>
      </c>
      <c r="B14" s="216" t="s">
        <v>887</v>
      </c>
    </row>
    <row r="15" spans="1:2" ht="12.75">
      <c r="A15" s="217" t="s">
        <v>903</v>
      </c>
      <c r="B15" s="216" t="s">
        <v>888</v>
      </c>
    </row>
    <row r="16" spans="1:2" s="1" customFormat="1" ht="47.25">
      <c r="A16" s="217" t="s">
        <v>904</v>
      </c>
      <c r="B16" s="216" t="s">
        <v>889</v>
      </c>
    </row>
    <row r="17" spans="1:2" ht="25.5">
      <c r="A17" s="217" t="s">
        <v>905</v>
      </c>
      <c r="B17" s="216" t="s">
        <v>890</v>
      </c>
    </row>
    <row r="18" spans="1:2" ht="12.75">
      <c r="A18" s="213"/>
      <c r="B18" s="214"/>
    </row>
    <row r="19" spans="1:2" ht="18" customHeight="1">
      <c r="A19" s="295" t="s">
        <v>639</v>
      </c>
      <c r="B19" s="296"/>
    </row>
    <row r="20" spans="1:2" ht="12.75" customHeight="1">
      <c r="A20" s="217" t="s">
        <v>911</v>
      </c>
      <c r="B20" s="216" t="s">
        <v>906</v>
      </c>
    </row>
    <row r="21" spans="1:2" ht="25.5">
      <c r="A21" s="217" t="s">
        <v>912</v>
      </c>
      <c r="B21" s="216" t="s">
        <v>907</v>
      </c>
    </row>
    <row r="22" spans="1:2" ht="25.5">
      <c r="A22" s="217" t="s">
        <v>608</v>
      </c>
      <c r="B22" s="216" t="s">
        <v>908</v>
      </c>
    </row>
    <row r="23" spans="1:2" ht="25.5">
      <c r="A23" s="217" t="s">
        <v>913</v>
      </c>
      <c r="B23" s="216" t="s">
        <v>909</v>
      </c>
    </row>
    <row r="24" spans="1:2" ht="38.25">
      <c r="A24" s="217" t="s">
        <v>609</v>
      </c>
      <c r="B24" s="216" t="s">
        <v>910</v>
      </c>
    </row>
    <row r="25" spans="1:2" ht="12.75">
      <c r="A25" s="213"/>
      <c r="B25" s="214"/>
    </row>
    <row r="26" spans="1:2" ht="18" customHeight="1">
      <c r="A26" s="295" t="s">
        <v>640</v>
      </c>
      <c r="B26" s="296"/>
    </row>
    <row r="27" spans="1:2" ht="25.5">
      <c r="A27" s="217" t="s">
        <v>610</v>
      </c>
      <c r="B27" s="216" t="s">
        <v>914</v>
      </c>
    </row>
    <row r="28" spans="1:2" ht="51">
      <c r="A28" s="217" t="s">
        <v>611</v>
      </c>
      <c r="B28" s="216" t="s">
        <v>915</v>
      </c>
    </row>
    <row r="29" spans="1:2" ht="27">
      <c r="A29" s="217" t="s">
        <v>612</v>
      </c>
      <c r="B29" s="216" t="s">
        <v>916</v>
      </c>
    </row>
    <row r="30" spans="1:2" ht="14.25">
      <c r="A30" s="217" t="s">
        <v>613</v>
      </c>
      <c r="B30" s="216" t="s">
        <v>917</v>
      </c>
    </row>
    <row r="31" spans="1:2" ht="25.5">
      <c r="A31" s="217" t="s">
        <v>614</v>
      </c>
      <c r="B31" s="216" t="s">
        <v>918</v>
      </c>
    </row>
    <row r="32" spans="1:2" ht="12.75">
      <c r="A32" s="217" t="s">
        <v>615</v>
      </c>
      <c r="B32" s="216" t="s">
        <v>919</v>
      </c>
    </row>
    <row r="33" spans="1:2" ht="25.5">
      <c r="A33" s="217" t="s">
        <v>616</v>
      </c>
      <c r="B33" s="216" t="s">
        <v>920</v>
      </c>
    </row>
    <row r="34" spans="1:2" ht="25.5">
      <c r="A34" s="217" t="s">
        <v>617</v>
      </c>
      <c r="B34" s="216" t="s">
        <v>921</v>
      </c>
    </row>
    <row r="35" spans="1:2" ht="12.75">
      <c r="A35" s="217" t="s">
        <v>618</v>
      </c>
      <c r="B35" s="216" t="s">
        <v>922</v>
      </c>
    </row>
    <row r="36" spans="1:2" ht="25.5">
      <c r="A36" s="217" t="s">
        <v>619</v>
      </c>
      <c r="B36" s="216" t="s">
        <v>923</v>
      </c>
    </row>
    <row r="37" spans="1:2" ht="12.75">
      <c r="A37" s="217" t="s">
        <v>925</v>
      </c>
      <c r="B37" s="216" t="s">
        <v>924</v>
      </c>
    </row>
    <row r="38" spans="1:2" ht="27">
      <c r="A38" s="217" t="s">
        <v>620</v>
      </c>
      <c r="B38" s="216" t="s">
        <v>0</v>
      </c>
    </row>
    <row r="39" spans="1:2" ht="27">
      <c r="A39" s="217" t="s">
        <v>621</v>
      </c>
      <c r="B39" s="216" t="s">
        <v>1</v>
      </c>
    </row>
    <row r="40" spans="1:2" ht="12.75">
      <c r="A40" s="213"/>
      <c r="B40" s="214"/>
    </row>
    <row r="41" spans="1:2" ht="18">
      <c r="A41" s="297" t="s">
        <v>641</v>
      </c>
      <c r="B41" s="298"/>
    </row>
    <row r="42" spans="1:2" ht="25.5">
      <c r="A42" s="217" t="s">
        <v>623</v>
      </c>
      <c r="B42" s="216" t="s">
        <v>2</v>
      </c>
    </row>
    <row r="43" spans="1:2" ht="12.75">
      <c r="A43" s="217" t="s">
        <v>622</v>
      </c>
      <c r="B43" s="216" t="s">
        <v>599</v>
      </c>
    </row>
    <row r="44" spans="1:2" ht="38.25">
      <c r="A44" s="217" t="s">
        <v>624</v>
      </c>
      <c r="B44" s="216" t="s">
        <v>3</v>
      </c>
    </row>
    <row r="45" spans="1:2" ht="27">
      <c r="A45" s="217" t="s">
        <v>625</v>
      </c>
      <c r="B45" s="216" t="s">
        <v>4</v>
      </c>
    </row>
    <row r="46" spans="1:2" ht="12.75">
      <c r="A46" s="217" t="s">
        <v>626</v>
      </c>
      <c r="B46" s="216" t="s">
        <v>5</v>
      </c>
    </row>
    <row r="47" spans="1:2" ht="12.75">
      <c r="A47" s="217" t="s">
        <v>627</v>
      </c>
      <c r="B47" s="216" t="s">
        <v>6</v>
      </c>
    </row>
    <row r="48" spans="1:2" ht="51">
      <c r="A48" s="217" t="s">
        <v>628</v>
      </c>
      <c r="B48" s="216" t="s">
        <v>7</v>
      </c>
    </row>
    <row r="49" spans="1:2" ht="25.5">
      <c r="A49" s="217" t="s">
        <v>629</v>
      </c>
      <c r="B49" s="216" t="s">
        <v>8</v>
      </c>
    </row>
    <row r="50" spans="1:2" ht="12.75">
      <c r="A50" s="217" t="s">
        <v>630</v>
      </c>
      <c r="B50" s="216" t="s">
        <v>9</v>
      </c>
    </row>
    <row r="51" spans="1:2" ht="12.75">
      <c r="A51" s="217" t="s">
        <v>631</v>
      </c>
      <c r="B51" s="216" t="s">
        <v>10</v>
      </c>
    </row>
    <row r="52" spans="1:2" ht="25.5">
      <c r="A52" s="217" t="s">
        <v>632</v>
      </c>
      <c r="B52" s="216" t="s">
        <v>11</v>
      </c>
    </row>
    <row r="53" spans="1:2" ht="38.25">
      <c r="A53" s="217" t="s">
        <v>633</v>
      </c>
      <c r="B53" s="216" t="s">
        <v>598</v>
      </c>
    </row>
    <row r="54" spans="1:2" ht="25.5">
      <c r="A54" s="217" t="s">
        <v>634</v>
      </c>
      <c r="B54" s="216" t="s">
        <v>594</v>
      </c>
    </row>
    <row r="55" spans="1:2" ht="12.75">
      <c r="A55" s="217" t="s">
        <v>635</v>
      </c>
      <c r="B55" s="216" t="s">
        <v>595</v>
      </c>
    </row>
    <row r="56" spans="1:2" ht="12.75">
      <c r="A56" s="217" t="s">
        <v>636</v>
      </c>
      <c r="B56" s="216" t="s">
        <v>596</v>
      </c>
    </row>
    <row r="57" spans="1:2" ht="12.75">
      <c r="A57" s="217" t="s">
        <v>637</v>
      </c>
      <c r="B57" s="216" t="s">
        <v>597</v>
      </c>
    </row>
    <row r="59" spans="1:2" ht="12.75">
      <c r="A59" s="212"/>
      <c r="B59" s="212"/>
    </row>
    <row r="60" spans="1:2" ht="18" customHeight="1">
      <c r="A60" s="248" t="s">
        <v>642</v>
      </c>
      <c r="B60" s="292"/>
    </row>
    <row r="61" spans="1:2" ht="14.25">
      <c r="A61" s="219" t="s">
        <v>48</v>
      </c>
      <c r="B61" s="216" t="s">
        <v>720</v>
      </c>
    </row>
    <row r="62" spans="1:2" ht="31.5">
      <c r="A62" s="219" t="s">
        <v>721</v>
      </c>
      <c r="B62" s="216" t="s">
        <v>722</v>
      </c>
    </row>
    <row r="63" spans="1:2" ht="28.5">
      <c r="A63" s="219" t="s">
        <v>49</v>
      </c>
      <c r="B63" s="216" t="s">
        <v>723</v>
      </c>
    </row>
    <row r="64" spans="1:2" ht="12.75">
      <c r="A64" s="219" t="s">
        <v>31</v>
      </c>
      <c r="B64" s="216" t="s">
        <v>724</v>
      </c>
    </row>
    <row r="65" spans="1:2" ht="15.75">
      <c r="A65" s="219" t="s">
        <v>725</v>
      </c>
      <c r="B65" s="216" t="s">
        <v>726</v>
      </c>
    </row>
    <row r="66" spans="1:2" ht="12.75">
      <c r="A66" s="219" t="s">
        <v>46</v>
      </c>
      <c r="B66" s="216" t="s">
        <v>727</v>
      </c>
    </row>
    <row r="67" spans="1:2" ht="24.75" customHeight="1">
      <c r="A67" s="219" t="s">
        <v>728</v>
      </c>
      <c r="B67" s="216" t="s">
        <v>729</v>
      </c>
    </row>
    <row r="68" spans="1:2" ht="14.25">
      <c r="A68" s="219" t="s">
        <v>50</v>
      </c>
      <c r="B68" s="216" t="s">
        <v>730</v>
      </c>
    </row>
    <row r="69" spans="1:2" ht="15.75">
      <c r="A69" s="219" t="s">
        <v>731</v>
      </c>
      <c r="B69" s="216" t="s">
        <v>732</v>
      </c>
    </row>
    <row r="70" spans="1:2" ht="15.75">
      <c r="A70" s="219" t="s">
        <v>51</v>
      </c>
      <c r="B70" s="216" t="s">
        <v>733</v>
      </c>
    </row>
    <row r="71" spans="1:2" ht="15.75">
      <c r="A71" s="219" t="s">
        <v>52</v>
      </c>
      <c r="B71" s="216" t="s">
        <v>738</v>
      </c>
    </row>
    <row r="72" spans="1:2" ht="15.75">
      <c r="A72" s="219" t="s">
        <v>53</v>
      </c>
      <c r="B72" s="216" t="s">
        <v>739</v>
      </c>
    </row>
    <row r="73" spans="1:2" ht="15.75">
      <c r="A73" s="219" t="s">
        <v>54</v>
      </c>
      <c r="B73" s="216" t="s">
        <v>739</v>
      </c>
    </row>
    <row r="74" spans="1:2" ht="12.75">
      <c r="A74" s="219" t="s">
        <v>32</v>
      </c>
      <c r="B74" s="216" t="s">
        <v>740</v>
      </c>
    </row>
    <row r="75" spans="1:2" ht="15.75">
      <c r="A75" s="219" t="s">
        <v>55</v>
      </c>
      <c r="B75" s="216" t="s">
        <v>741</v>
      </c>
    </row>
    <row r="76" spans="1:2" ht="25.5">
      <c r="A76" s="219" t="s">
        <v>56</v>
      </c>
      <c r="B76" s="216" t="s">
        <v>742</v>
      </c>
    </row>
    <row r="77" spans="1:2" ht="15.75">
      <c r="A77" s="219" t="s">
        <v>743</v>
      </c>
      <c r="B77" s="216" t="s">
        <v>744</v>
      </c>
    </row>
    <row r="78" spans="1:2" ht="15.75">
      <c r="A78" s="219" t="s">
        <v>57</v>
      </c>
      <c r="B78" s="216" t="s">
        <v>745</v>
      </c>
    </row>
    <row r="79" spans="1:2" ht="15.75">
      <c r="A79" s="219" t="s">
        <v>58</v>
      </c>
      <c r="B79" s="216" t="s">
        <v>746</v>
      </c>
    </row>
    <row r="80" spans="1:2" ht="15.75">
      <c r="A80" s="219" t="s">
        <v>59</v>
      </c>
      <c r="B80" s="216" t="s">
        <v>747</v>
      </c>
    </row>
    <row r="81" spans="1:2" ht="15.75">
      <c r="A81" s="219" t="s">
        <v>60</v>
      </c>
      <c r="B81" s="216" t="s">
        <v>748</v>
      </c>
    </row>
    <row r="82" spans="1:2" ht="15.75">
      <c r="A82" s="219" t="s">
        <v>749</v>
      </c>
      <c r="B82" s="216" t="s">
        <v>750</v>
      </c>
    </row>
    <row r="83" spans="1:2" ht="15.75">
      <c r="A83" s="219" t="s">
        <v>751</v>
      </c>
      <c r="B83" s="216" t="s">
        <v>752</v>
      </c>
    </row>
    <row r="84" spans="1:2" ht="15.75">
      <c r="A84" s="219" t="s">
        <v>753</v>
      </c>
      <c r="B84" s="216" t="s">
        <v>754</v>
      </c>
    </row>
    <row r="85" spans="1:2" ht="15.75">
      <c r="A85" s="219" t="s">
        <v>755</v>
      </c>
      <c r="B85" s="216" t="s">
        <v>756</v>
      </c>
    </row>
    <row r="86" spans="1:2" ht="27">
      <c r="A86" s="219" t="s">
        <v>757</v>
      </c>
      <c r="B86" s="216" t="s">
        <v>758</v>
      </c>
    </row>
    <row r="87" spans="1:2" ht="15.75">
      <c r="A87" s="219" t="s">
        <v>61</v>
      </c>
      <c r="B87" s="216" t="s">
        <v>759</v>
      </c>
    </row>
    <row r="88" spans="1:2" ht="15.75">
      <c r="A88" s="219" t="s">
        <v>62</v>
      </c>
      <c r="B88" s="216" t="s">
        <v>760</v>
      </c>
    </row>
    <row r="89" spans="1:2" ht="15.75">
      <c r="A89" s="219" t="s">
        <v>63</v>
      </c>
      <c r="B89" s="216" t="s">
        <v>761</v>
      </c>
    </row>
    <row r="90" spans="1:2" ht="15.75">
      <c r="A90" s="219" t="s">
        <v>64</v>
      </c>
      <c r="B90" s="216" t="s">
        <v>762</v>
      </c>
    </row>
    <row r="91" spans="1:2" ht="15.75">
      <c r="A91" s="219" t="s">
        <v>763</v>
      </c>
      <c r="B91" s="216" t="s">
        <v>764</v>
      </c>
    </row>
    <row r="92" spans="1:2" ht="15.75">
      <c r="A92" s="219" t="s">
        <v>765</v>
      </c>
      <c r="B92" s="218" t="s">
        <v>766</v>
      </c>
    </row>
    <row r="93" spans="1:2" ht="15.75">
      <c r="A93" s="219" t="s">
        <v>767</v>
      </c>
      <c r="B93" s="218" t="s">
        <v>768</v>
      </c>
    </row>
    <row r="94" spans="1:2" ht="15.75">
      <c r="A94" s="219" t="s">
        <v>769</v>
      </c>
      <c r="B94" s="216" t="s">
        <v>770</v>
      </c>
    </row>
    <row r="95" spans="1:2" ht="14.25">
      <c r="A95" s="219" t="s">
        <v>35</v>
      </c>
      <c r="B95" s="216" t="s">
        <v>771</v>
      </c>
    </row>
    <row r="96" spans="1:2" ht="12.75">
      <c r="A96" s="219" t="s">
        <v>65</v>
      </c>
      <c r="B96" s="216" t="s">
        <v>772</v>
      </c>
    </row>
    <row r="97" spans="1:2" ht="15.75">
      <c r="A97" s="219" t="s">
        <v>773</v>
      </c>
      <c r="B97" s="216" t="s">
        <v>774</v>
      </c>
    </row>
    <row r="98" spans="1:2" ht="15.75">
      <c r="A98" s="219" t="s">
        <v>775</v>
      </c>
      <c r="B98" s="216" t="s">
        <v>776</v>
      </c>
    </row>
    <row r="99" spans="1:2" ht="14.25">
      <c r="A99" s="219" t="s">
        <v>777</v>
      </c>
      <c r="B99" s="216" t="s">
        <v>778</v>
      </c>
    </row>
    <row r="100" spans="1:2" ht="15.75">
      <c r="A100" s="219" t="s">
        <v>779</v>
      </c>
      <c r="B100" s="216" t="s">
        <v>780</v>
      </c>
    </row>
    <row r="101" spans="1:2" ht="15.75">
      <c r="A101" s="219" t="s">
        <v>781</v>
      </c>
      <c r="B101" s="216" t="s">
        <v>782</v>
      </c>
    </row>
    <row r="102" spans="1:2" ht="15.75">
      <c r="A102" s="219" t="s">
        <v>783</v>
      </c>
      <c r="B102" s="216" t="s">
        <v>784</v>
      </c>
    </row>
    <row r="103" spans="1:2" ht="15.75">
      <c r="A103" s="219" t="s">
        <v>785</v>
      </c>
      <c r="B103" s="216" t="s">
        <v>786</v>
      </c>
    </row>
    <row r="104" spans="1:2" ht="25.5">
      <c r="A104" s="219" t="s">
        <v>787</v>
      </c>
      <c r="B104" s="216" t="s">
        <v>788</v>
      </c>
    </row>
    <row r="105" spans="1:2" ht="15.75">
      <c r="A105" s="219" t="s">
        <v>288</v>
      </c>
      <c r="B105" s="216" t="s">
        <v>789</v>
      </c>
    </row>
    <row r="106" spans="1:2" ht="15.75">
      <c r="A106" s="219" t="s">
        <v>66</v>
      </c>
      <c r="B106" s="216" t="s">
        <v>790</v>
      </c>
    </row>
    <row r="107" spans="1:2" ht="15.75">
      <c r="A107" s="219" t="s">
        <v>791</v>
      </c>
      <c r="B107" s="216" t="s">
        <v>792</v>
      </c>
    </row>
    <row r="108" spans="1:2" ht="12.75">
      <c r="A108" s="219" t="s">
        <v>793</v>
      </c>
      <c r="B108" s="216" t="s">
        <v>794</v>
      </c>
    </row>
    <row r="109" spans="1:2" ht="15.75">
      <c r="A109" s="219" t="s">
        <v>67</v>
      </c>
      <c r="B109" s="216" t="s">
        <v>795</v>
      </c>
    </row>
    <row r="110" spans="1:2" ht="15.75">
      <c r="A110" s="219" t="s">
        <v>796</v>
      </c>
      <c r="B110" s="216" t="s">
        <v>797</v>
      </c>
    </row>
    <row r="111" spans="1:2" ht="15.75">
      <c r="A111" s="219" t="s">
        <v>68</v>
      </c>
      <c r="B111" s="218" t="s">
        <v>798</v>
      </c>
    </row>
    <row r="112" spans="1:2" ht="15.75">
      <c r="A112" s="219" t="s">
        <v>69</v>
      </c>
      <c r="B112" s="218" t="s">
        <v>799</v>
      </c>
    </row>
    <row r="113" spans="1:2" ht="15.75">
      <c r="A113" s="219" t="s">
        <v>323</v>
      </c>
      <c r="B113" s="216" t="s">
        <v>800</v>
      </c>
    </row>
    <row r="114" spans="1:2" ht="15.75">
      <c r="A114" s="219" t="s">
        <v>801</v>
      </c>
      <c r="B114" s="216" t="s">
        <v>802</v>
      </c>
    </row>
    <row r="115" spans="1:2" ht="15.75">
      <c r="A115" s="219" t="s">
        <v>70</v>
      </c>
      <c r="B115" s="216" t="s">
        <v>803</v>
      </c>
    </row>
    <row r="116" spans="1:2" ht="15.75">
      <c r="A116" s="219" t="s">
        <v>71</v>
      </c>
      <c r="B116" s="216" t="s">
        <v>804</v>
      </c>
    </row>
    <row r="117" spans="1:2" ht="15.75">
      <c r="A117" s="219" t="s">
        <v>72</v>
      </c>
      <c r="B117" s="216" t="s">
        <v>805</v>
      </c>
    </row>
    <row r="118" spans="1:2" ht="15.75">
      <c r="A118" s="219" t="s">
        <v>73</v>
      </c>
      <c r="B118" s="216" t="s">
        <v>806</v>
      </c>
    </row>
    <row r="119" spans="1:2" ht="15.75">
      <c r="A119" s="219" t="s">
        <v>74</v>
      </c>
      <c r="B119" s="218" t="s">
        <v>807</v>
      </c>
    </row>
    <row r="120" spans="1:2" ht="15.75">
      <c r="A120" s="219" t="s">
        <v>75</v>
      </c>
      <c r="B120" s="218" t="s">
        <v>808</v>
      </c>
    </row>
    <row r="121" spans="1:2" ht="14.25">
      <c r="A121" s="219" t="s">
        <v>809</v>
      </c>
      <c r="B121" s="216" t="s">
        <v>810</v>
      </c>
    </row>
    <row r="122" spans="1:2" ht="15.75">
      <c r="A122" s="219" t="s">
        <v>76</v>
      </c>
      <c r="B122" s="216" t="s">
        <v>811</v>
      </c>
    </row>
    <row r="123" spans="1:2" ht="15.75">
      <c r="A123" s="219" t="s">
        <v>77</v>
      </c>
      <c r="B123" s="216" t="s">
        <v>812</v>
      </c>
    </row>
    <row r="124" spans="1:2" ht="15.75">
      <c r="A124" s="219" t="s">
        <v>813</v>
      </c>
      <c r="B124" s="216" t="s">
        <v>814</v>
      </c>
    </row>
    <row r="125" spans="1:2" ht="15.75">
      <c r="A125" s="219" t="s">
        <v>815</v>
      </c>
      <c r="B125" s="216" t="s">
        <v>816</v>
      </c>
    </row>
    <row r="126" spans="1:2" ht="15.75">
      <c r="A126" s="219" t="s">
        <v>817</v>
      </c>
      <c r="B126" s="216" t="s">
        <v>818</v>
      </c>
    </row>
    <row r="127" spans="1:2" ht="12.75">
      <c r="A127" s="219" t="s">
        <v>819</v>
      </c>
      <c r="B127" s="216" t="s">
        <v>820</v>
      </c>
    </row>
    <row r="128" spans="1:2" ht="15.75">
      <c r="A128" s="219" t="s">
        <v>78</v>
      </c>
      <c r="B128" s="218" t="s">
        <v>821</v>
      </c>
    </row>
    <row r="129" spans="1:2" ht="15.75">
      <c r="A129" s="219" t="s">
        <v>79</v>
      </c>
      <c r="B129" s="218" t="s">
        <v>822</v>
      </c>
    </row>
    <row r="130" spans="1:2" ht="15.75">
      <c r="A130" s="219" t="s">
        <v>80</v>
      </c>
      <c r="B130" s="216" t="s">
        <v>823</v>
      </c>
    </row>
    <row r="131" spans="1:2" ht="27">
      <c r="A131" s="219" t="s">
        <v>81</v>
      </c>
      <c r="B131" s="216" t="s">
        <v>824</v>
      </c>
    </row>
    <row r="132" spans="1:2" ht="15.75">
      <c r="A132" s="219" t="s">
        <v>82</v>
      </c>
      <c r="B132" s="216" t="s">
        <v>825</v>
      </c>
    </row>
    <row r="133" spans="1:2" ht="12.75">
      <c r="A133" s="219" t="s">
        <v>826</v>
      </c>
      <c r="B133" s="216" t="s">
        <v>827</v>
      </c>
    </row>
    <row r="134" spans="1:2" ht="15.75">
      <c r="A134" s="219" t="s">
        <v>83</v>
      </c>
      <c r="B134" s="216" t="s">
        <v>828</v>
      </c>
    </row>
    <row r="135" spans="1:2" ht="15.75">
      <c r="A135" s="219" t="s">
        <v>84</v>
      </c>
      <c r="B135" s="216" t="s">
        <v>829</v>
      </c>
    </row>
    <row r="136" spans="1:2" ht="15.75">
      <c r="A136" s="219" t="s">
        <v>85</v>
      </c>
      <c r="B136" s="216" t="s">
        <v>830</v>
      </c>
    </row>
    <row r="137" spans="1:2" ht="15.75">
      <c r="A137" s="219" t="s">
        <v>86</v>
      </c>
      <c r="B137" s="216" t="s">
        <v>831</v>
      </c>
    </row>
    <row r="138" spans="1:2" ht="25.5">
      <c r="A138" s="219" t="s">
        <v>87</v>
      </c>
      <c r="B138" s="216" t="s">
        <v>832</v>
      </c>
    </row>
    <row r="139" spans="1:2" ht="25.5">
      <c r="A139" s="219" t="s">
        <v>88</v>
      </c>
      <c r="B139" s="216" t="s">
        <v>832</v>
      </c>
    </row>
    <row r="140" spans="1:2" ht="15.75">
      <c r="A140" s="219" t="s">
        <v>833</v>
      </c>
      <c r="B140" s="216" t="s">
        <v>835</v>
      </c>
    </row>
    <row r="141" spans="1:2" ht="27">
      <c r="A141" s="219" t="s">
        <v>90</v>
      </c>
      <c r="B141" s="216" t="s">
        <v>836</v>
      </c>
    </row>
    <row r="142" spans="1:2" ht="15.75">
      <c r="A142" s="219" t="s">
        <v>837</v>
      </c>
      <c r="B142" s="216" t="s">
        <v>840</v>
      </c>
    </row>
    <row r="143" spans="1:2" ht="15.75">
      <c r="A143" s="219" t="s">
        <v>841</v>
      </c>
      <c r="B143" s="216" t="s">
        <v>842</v>
      </c>
    </row>
    <row r="144" spans="1:2" ht="15.75">
      <c r="A144" s="219" t="s">
        <v>843</v>
      </c>
      <c r="B144" s="216" t="s">
        <v>844</v>
      </c>
    </row>
    <row r="145" spans="1:2" ht="12.75">
      <c r="A145" s="219" t="s">
        <v>91</v>
      </c>
      <c r="B145" s="216" t="s">
        <v>845</v>
      </c>
    </row>
    <row r="146" spans="1:2" ht="12.75">
      <c r="A146" s="219" t="s">
        <v>846</v>
      </c>
      <c r="B146" s="216" t="s">
        <v>847</v>
      </c>
    </row>
    <row r="147" spans="1:2" ht="15.75">
      <c r="A147" s="219" t="s">
        <v>848</v>
      </c>
      <c r="B147" s="218" t="s">
        <v>849</v>
      </c>
    </row>
    <row r="148" spans="1:2" ht="15.75">
      <c r="A148" s="219" t="s">
        <v>271</v>
      </c>
      <c r="B148" s="218" t="s">
        <v>850</v>
      </c>
    </row>
    <row r="149" spans="1:2" ht="15.75">
      <c r="A149" s="219" t="s">
        <v>272</v>
      </c>
      <c r="B149" s="218" t="s">
        <v>851</v>
      </c>
    </row>
    <row r="150" spans="1:2" ht="15.75">
      <c r="A150" s="219" t="s">
        <v>287</v>
      </c>
      <c r="B150" s="216" t="s">
        <v>852</v>
      </c>
    </row>
    <row r="151" spans="1:2" ht="12.75">
      <c r="A151" s="219" t="s">
        <v>853</v>
      </c>
      <c r="B151" s="216" t="s">
        <v>854</v>
      </c>
    </row>
    <row r="152" spans="1:2" ht="12.75">
      <c r="A152" s="219" t="s">
        <v>855</v>
      </c>
      <c r="B152" s="216" t="s">
        <v>856</v>
      </c>
    </row>
    <row r="153" spans="1:2" ht="12.75">
      <c r="A153" s="219" t="s">
        <v>857</v>
      </c>
      <c r="B153" s="216" t="s">
        <v>858</v>
      </c>
    </row>
    <row r="154" spans="1:2" ht="14.25">
      <c r="A154" s="220" t="s">
        <v>35</v>
      </c>
      <c r="B154" s="216" t="s">
        <v>859</v>
      </c>
    </row>
    <row r="155" spans="1:2" ht="15.75">
      <c r="A155" s="220" t="s">
        <v>860</v>
      </c>
      <c r="B155" s="216" t="s">
        <v>861</v>
      </c>
    </row>
    <row r="156" spans="1:2" ht="12.75">
      <c r="A156" s="220" t="s">
        <v>862</v>
      </c>
      <c r="B156" s="216" t="s">
        <v>863</v>
      </c>
    </row>
    <row r="157" spans="1:2" ht="15.75">
      <c r="A157" s="219" t="s">
        <v>864</v>
      </c>
      <c r="B157" s="216" t="s">
        <v>865</v>
      </c>
    </row>
    <row r="158" spans="1:2" ht="12.75">
      <c r="A158" s="220" t="s">
        <v>866</v>
      </c>
      <c r="B158" s="216" t="s">
        <v>867</v>
      </c>
    </row>
    <row r="159" spans="1:2" ht="12.75">
      <c r="A159" s="219" t="s">
        <v>868</v>
      </c>
      <c r="B159" s="216" t="s">
        <v>869</v>
      </c>
    </row>
    <row r="160" spans="1:2" ht="14.25">
      <c r="A160" s="219" t="s">
        <v>870</v>
      </c>
      <c r="B160" s="216" t="s">
        <v>871</v>
      </c>
    </row>
    <row r="161" spans="1:2" ht="15.75">
      <c r="A161" s="219" t="s">
        <v>872</v>
      </c>
      <c r="B161" s="216" t="s">
        <v>873</v>
      </c>
    </row>
    <row r="162" spans="1:2" ht="14.25">
      <c r="A162" s="219" t="s">
        <v>874</v>
      </c>
      <c r="B162" s="216" t="s">
        <v>875</v>
      </c>
    </row>
    <row r="163" spans="1:2" ht="15.75">
      <c r="A163" s="219" t="s">
        <v>876</v>
      </c>
      <c r="B163" s="216" t="s">
        <v>877</v>
      </c>
    </row>
    <row r="164" spans="1:2" ht="15.75">
      <c r="A164" s="219" t="s">
        <v>878</v>
      </c>
      <c r="B164" s="216" t="s">
        <v>879</v>
      </c>
    </row>
    <row r="165" spans="1:2" ht="15.75">
      <c r="A165" s="219" t="s">
        <v>92</v>
      </c>
      <c r="B165" s="216" t="s">
        <v>880</v>
      </c>
    </row>
    <row r="166" spans="1:2" ht="15.75">
      <c r="A166" s="219" t="s">
        <v>881</v>
      </c>
      <c r="B166" s="216" t="s">
        <v>882</v>
      </c>
    </row>
    <row r="167" spans="1:2" ht="12.75">
      <c r="A167" s="220" t="s">
        <v>93</v>
      </c>
      <c r="B167" s="216" t="s">
        <v>883</v>
      </c>
    </row>
  </sheetData>
  <sheetProtection sheet="1" objects="1" scenarios="1" selectLockedCells="1" selectUnlockedCells="1"/>
  <mergeCells count="5">
    <mergeCell ref="A60:B60"/>
    <mergeCell ref="A2:B2"/>
    <mergeCell ref="A19:B19"/>
    <mergeCell ref="A26:B26"/>
    <mergeCell ref="A41:B41"/>
  </mergeCells>
  <printOptions/>
  <pageMargins left="0.75" right="0.75" top="1" bottom="1" header="0.5" footer="0.5"/>
  <pageSetup orientation="portrait" paperSize="9"/>
  <legacyDrawing r:id="rId2"/>
  <oleObjects>
    <oleObject progId="Word.Document.8" shapeId="25020925" r:id="rId1"/>
  </oleObjects>
</worksheet>
</file>

<file path=xl/worksheets/sheet3.xml><?xml version="1.0" encoding="utf-8"?>
<worksheet xmlns="http://schemas.openxmlformats.org/spreadsheetml/2006/main" xmlns:r="http://schemas.openxmlformats.org/officeDocument/2006/relationships">
  <dimension ref="A2:AE144"/>
  <sheetViews>
    <sheetView workbookViewId="0" topLeftCell="A1">
      <selection activeCell="G16" sqref="G16"/>
    </sheetView>
  </sheetViews>
  <sheetFormatPr defaultColWidth="9.140625" defaultRowHeight="12.75"/>
  <cols>
    <col min="1" max="1" width="14.7109375" style="0" customWidth="1"/>
    <col min="2" max="2" width="16.57421875" style="0" customWidth="1"/>
    <col min="3" max="3" width="14.8515625" style="0" customWidth="1"/>
    <col min="4" max="6" width="14.7109375" style="0" customWidth="1"/>
    <col min="7" max="7" width="16.140625" style="9" customWidth="1"/>
    <col min="8" max="8" width="17.00390625" style="12" customWidth="1"/>
    <col min="9" max="10" width="14.7109375" style="15" customWidth="1"/>
    <col min="11" max="11" width="18.140625" style="15" customWidth="1"/>
    <col min="12" max="12" width="20.28125" style="15" customWidth="1"/>
    <col min="13" max="14" width="14.7109375" style="15" customWidth="1"/>
    <col min="15" max="15" width="7.421875" style="0" customWidth="1"/>
    <col min="16" max="16" width="29.421875" style="0" customWidth="1"/>
    <col min="17" max="17" width="15.140625" style="0" customWidth="1"/>
    <col min="18" max="18" width="16.7109375" style="0" customWidth="1"/>
    <col min="21" max="21" width="7.57421875" style="0" customWidth="1"/>
    <col min="22" max="22" width="6.8515625" style="0" customWidth="1"/>
    <col min="23" max="23" width="13.57421875" style="0" customWidth="1"/>
    <col min="28" max="28" width="10.140625" style="0" customWidth="1"/>
    <col min="29" max="29" width="10.7109375" style="0" customWidth="1"/>
    <col min="30" max="30" width="11.00390625" style="0" customWidth="1"/>
  </cols>
  <sheetData>
    <row r="2" spans="1:30" s="6" customFormat="1" ht="21.75">
      <c r="A2" s="343" t="s">
        <v>216</v>
      </c>
      <c r="B2" s="344"/>
      <c r="C2" s="344"/>
      <c r="D2" s="344"/>
      <c r="E2" s="344"/>
      <c r="F2" s="344"/>
      <c r="G2" s="344"/>
      <c r="H2" s="344"/>
      <c r="I2" s="13"/>
      <c r="J2" s="13"/>
      <c r="K2" s="13"/>
      <c r="L2" s="13"/>
      <c r="M2" s="13"/>
      <c r="N2" s="13"/>
      <c r="P2" s="370" t="s">
        <v>223</v>
      </c>
      <c r="Q2" s="370"/>
      <c r="R2" s="370"/>
      <c r="S2" s="370"/>
      <c r="T2" s="370"/>
      <c r="U2" s="370"/>
      <c r="V2" s="370"/>
      <c r="W2" s="370"/>
      <c r="X2" s="370"/>
      <c r="Y2" s="370"/>
      <c r="Z2" s="370"/>
      <c r="AA2" s="370"/>
      <c r="AB2" s="370"/>
      <c r="AC2" s="370"/>
      <c r="AD2" s="370"/>
    </row>
    <row r="3" spans="1:30" s="6" customFormat="1" ht="15.75" customHeight="1">
      <c r="A3" s="302" t="s">
        <v>217</v>
      </c>
      <c r="B3" s="303"/>
      <c r="C3" s="303"/>
      <c r="D3" s="303"/>
      <c r="E3" s="303"/>
      <c r="F3" s="303"/>
      <c r="G3" s="303"/>
      <c r="H3" s="303"/>
      <c r="I3" s="13"/>
      <c r="J3" s="13"/>
      <c r="K3" s="13"/>
      <c r="L3" s="13"/>
      <c r="M3" s="13"/>
      <c r="N3" s="13"/>
      <c r="P3" s="299" t="s">
        <v>516</v>
      </c>
      <c r="Q3" s="299" t="s">
        <v>37</v>
      </c>
      <c r="R3" s="299" t="s">
        <v>517</v>
      </c>
      <c r="S3" s="299" t="s">
        <v>242</v>
      </c>
      <c r="T3" s="300"/>
      <c r="U3" s="299" t="s">
        <v>518</v>
      </c>
      <c r="V3" s="300"/>
      <c r="W3" s="299" t="s">
        <v>243</v>
      </c>
      <c r="X3" s="299" t="s">
        <v>244</v>
      </c>
      <c r="Y3" s="300"/>
      <c r="Z3" s="299" t="s">
        <v>245</v>
      </c>
      <c r="AA3" s="300"/>
      <c r="AB3" s="299" t="s">
        <v>246</v>
      </c>
      <c r="AC3" s="300"/>
      <c r="AD3" s="299" t="s">
        <v>247</v>
      </c>
    </row>
    <row r="4" spans="1:30" s="6" customFormat="1" ht="15.75" customHeight="1">
      <c r="A4" s="327" t="s">
        <v>26</v>
      </c>
      <c r="B4" s="312" t="s">
        <v>21</v>
      </c>
      <c r="C4" s="312" t="s">
        <v>22</v>
      </c>
      <c r="D4" s="312" t="s">
        <v>204</v>
      </c>
      <c r="E4" s="346" t="s">
        <v>205</v>
      </c>
      <c r="F4" s="346"/>
      <c r="G4" s="169" t="s">
        <v>206</v>
      </c>
      <c r="H4" s="170" t="s">
        <v>207</v>
      </c>
      <c r="I4" s="13"/>
      <c r="J4" s="13"/>
      <c r="K4" s="13"/>
      <c r="L4" s="13"/>
      <c r="M4" s="13"/>
      <c r="N4" s="13"/>
      <c r="P4" s="301"/>
      <c r="Q4" s="301"/>
      <c r="R4" s="301"/>
      <c r="S4" s="300"/>
      <c r="T4" s="300"/>
      <c r="U4" s="300"/>
      <c r="V4" s="300"/>
      <c r="W4" s="300"/>
      <c r="X4" s="300"/>
      <c r="Y4" s="300"/>
      <c r="Z4" s="300"/>
      <c r="AA4" s="300"/>
      <c r="AB4" s="300"/>
      <c r="AC4" s="300"/>
      <c r="AD4" s="300"/>
    </row>
    <row r="5" spans="1:30" s="6" customFormat="1" ht="15.75" customHeight="1">
      <c r="A5" s="327"/>
      <c r="B5" s="312"/>
      <c r="C5" s="312"/>
      <c r="D5" s="312"/>
      <c r="E5" s="304" t="s">
        <v>208</v>
      </c>
      <c r="F5" s="304" t="s">
        <v>209</v>
      </c>
      <c r="G5" s="304" t="s">
        <v>210</v>
      </c>
      <c r="H5" s="309" t="s">
        <v>212</v>
      </c>
      <c r="I5" s="13"/>
      <c r="J5" s="13"/>
      <c r="K5" s="13"/>
      <c r="L5" s="13"/>
      <c r="M5" s="13"/>
      <c r="N5" s="13"/>
      <c r="P5" s="301"/>
      <c r="Q5" s="301"/>
      <c r="R5" s="301"/>
      <c r="S5" s="300"/>
      <c r="T5" s="300"/>
      <c r="U5" s="300"/>
      <c r="V5" s="300"/>
      <c r="W5" s="300"/>
      <c r="X5" s="300"/>
      <c r="Y5" s="300"/>
      <c r="Z5" s="300"/>
      <c r="AA5" s="300"/>
      <c r="AB5" s="300"/>
      <c r="AC5" s="300"/>
      <c r="AD5" s="300"/>
    </row>
    <row r="6" spans="1:30" s="6" customFormat="1" ht="15.75" customHeight="1">
      <c r="A6" s="327"/>
      <c r="B6" s="312"/>
      <c r="C6" s="312"/>
      <c r="D6" s="312"/>
      <c r="E6" s="305"/>
      <c r="F6" s="305"/>
      <c r="G6" s="307"/>
      <c r="H6" s="310"/>
      <c r="I6" s="13"/>
      <c r="J6" s="13"/>
      <c r="K6" s="13"/>
      <c r="L6" s="13"/>
      <c r="M6" s="13"/>
      <c r="N6" s="13"/>
      <c r="P6" s="301"/>
      <c r="Q6" s="301"/>
      <c r="R6" s="301"/>
      <c r="S6" s="300"/>
      <c r="T6" s="300"/>
      <c r="U6" s="300"/>
      <c r="V6" s="300"/>
      <c r="W6" s="300"/>
      <c r="X6" s="300"/>
      <c r="Y6" s="300"/>
      <c r="Z6" s="300"/>
      <c r="AA6" s="300"/>
      <c r="AB6" s="300"/>
      <c r="AC6" s="300"/>
      <c r="AD6" s="300"/>
    </row>
    <row r="7" spans="1:30" s="6" customFormat="1" ht="15.75" customHeight="1">
      <c r="A7" s="327"/>
      <c r="B7" s="312"/>
      <c r="C7" s="312"/>
      <c r="D7" s="312"/>
      <c r="E7" s="305"/>
      <c r="F7" s="305"/>
      <c r="G7" s="307"/>
      <c r="H7" s="310"/>
      <c r="I7" s="13"/>
      <c r="J7" s="13"/>
      <c r="K7" s="13"/>
      <c r="L7" s="13"/>
      <c r="M7" s="13"/>
      <c r="N7" s="13"/>
      <c r="P7" s="301"/>
      <c r="Q7" s="301"/>
      <c r="R7" s="301"/>
      <c r="S7" s="23" t="s">
        <v>570</v>
      </c>
      <c r="T7" s="23" t="s">
        <v>571</v>
      </c>
      <c r="U7" s="23" t="s">
        <v>519</v>
      </c>
      <c r="V7" s="23" t="s">
        <v>572</v>
      </c>
      <c r="W7" s="23" t="s">
        <v>520</v>
      </c>
      <c r="X7" s="23" t="s">
        <v>519</v>
      </c>
      <c r="Y7" s="23" t="s">
        <v>572</v>
      </c>
      <c r="Z7" s="23" t="s">
        <v>521</v>
      </c>
      <c r="AA7" s="23" t="s">
        <v>572</v>
      </c>
      <c r="AB7" s="23" t="s">
        <v>522</v>
      </c>
      <c r="AC7" s="23" t="s">
        <v>573</v>
      </c>
      <c r="AD7" s="300"/>
    </row>
    <row r="8" spans="1:31" ht="15.75" customHeight="1">
      <c r="A8" s="328"/>
      <c r="B8" s="345"/>
      <c r="C8" s="345"/>
      <c r="D8" s="345"/>
      <c r="E8" s="306"/>
      <c r="F8" s="306"/>
      <c r="G8" s="308"/>
      <c r="H8" s="311"/>
      <c r="I8" s="14"/>
      <c r="J8" s="14"/>
      <c r="K8" s="14"/>
      <c r="L8" s="14"/>
      <c r="M8" s="14"/>
      <c r="N8" s="14"/>
      <c r="O8" s="2"/>
      <c r="P8" s="369" t="s">
        <v>523</v>
      </c>
      <c r="Q8" s="369" t="s">
        <v>524</v>
      </c>
      <c r="R8" s="172" t="s">
        <v>525</v>
      </c>
      <c r="S8" s="172">
        <v>19.5</v>
      </c>
      <c r="T8" s="172">
        <v>125</v>
      </c>
      <c r="U8" s="369">
        <v>0</v>
      </c>
      <c r="V8" s="369"/>
      <c r="W8" s="369" t="s">
        <v>526</v>
      </c>
      <c r="X8" s="172">
        <v>25</v>
      </c>
      <c r="Y8" s="172">
        <v>3.5</v>
      </c>
      <c r="Z8" s="172">
        <v>28</v>
      </c>
      <c r="AA8" s="172">
        <v>3920</v>
      </c>
      <c r="AB8" s="172" t="s">
        <v>527</v>
      </c>
      <c r="AC8" s="172" t="s">
        <v>527</v>
      </c>
      <c r="AD8" s="369">
        <v>0.5</v>
      </c>
      <c r="AE8" s="5"/>
    </row>
    <row r="9" spans="1:31" ht="15.75" customHeight="1">
      <c r="A9" s="328"/>
      <c r="B9" s="329" t="s">
        <v>498</v>
      </c>
      <c r="C9" s="329" t="s">
        <v>498</v>
      </c>
      <c r="D9" s="329" t="s">
        <v>23</v>
      </c>
      <c r="E9" s="329" t="s">
        <v>25</v>
      </c>
      <c r="F9" s="329" t="s">
        <v>24</v>
      </c>
      <c r="G9" s="329" t="s">
        <v>24</v>
      </c>
      <c r="H9" s="329" t="s">
        <v>24</v>
      </c>
      <c r="I9" s="14"/>
      <c r="J9" s="14"/>
      <c r="K9" s="14"/>
      <c r="L9" s="14"/>
      <c r="M9" s="14"/>
      <c r="N9" s="14"/>
      <c r="O9" s="2"/>
      <c r="P9" s="369"/>
      <c r="Q9" s="369"/>
      <c r="R9" s="172" t="s">
        <v>528</v>
      </c>
      <c r="S9" s="172">
        <v>20.5</v>
      </c>
      <c r="T9" s="172">
        <v>130</v>
      </c>
      <c r="U9" s="369"/>
      <c r="V9" s="369"/>
      <c r="W9" s="369"/>
      <c r="X9" s="172">
        <v>50</v>
      </c>
      <c r="Y9" s="172">
        <v>7</v>
      </c>
      <c r="Z9" s="172">
        <v>44</v>
      </c>
      <c r="AA9" s="172">
        <v>6160</v>
      </c>
      <c r="AB9" s="172" t="s">
        <v>527</v>
      </c>
      <c r="AC9" s="172" t="s">
        <v>527</v>
      </c>
      <c r="AD9" s="369"/>
      <c r="AE9" s="5"/>
    </row>
    <row r="10" spans="1:31" ht="15.75" customHeight="1">
      <c r="A10" s="328"/>
      <c r="B10" s="334"/>
      <c r="C10" s="334"/>
      <c r="D10" s="334"/>
      <c r="E10" s="306"/>
      <c r="F10" s="306"/>
      <c r="G10" s="308"/>
      <c r="H10" s="311"/>
      <c r="I10" s="14"/>
      <c r="J10" s="14"/>
      <c r="K10" s="14"/>
      <c r="L10" s="14"/>
      <c r="M10" s="14"/>
      <c r="N10" s="14"/>
      <c r="P10" s="369"/>
      <c r="Q10" s="369"/>
      <c r="R10" s="172" t="s">
        <v>529</v>
      </c>
      <c r="S10" s="172">
        <v>21.5</v>
      </c>
      <c r="T10" s="172">
        <v>135</v>
      </c>
      <c r="U10" s="369"/>
      <c r="V10" s="369"/>
      <c r="W10" s="369"/>
      <c r="X10" s="172">
        <v>100</v>
      </c>
      <c r="Y10" s="172">
        <v>14</v>
      </c>
      <c r="Z10" s="172">
        <v>60</v>
      </c>
      <c r="AA10" s="172">
        <v>8400</v>
      </c>
      <c r="AB10" s="172" t="s">
        <v>527</v>
      </c>
      <c r="AC10" s="172" t="s">
        <v>527</v>
      </c>
      <c r="AD10" s="369"/>
      <c r="AE10" s="5"/>
    </row>
    <row r="11" spans="1:31" ht="15.75" customHeight="1">
      <c r="A11" s="162">
        <v>1</v>
      </c>
      <c r="B11" s="162">
        <v>0</v>
      </c>
      <c r="C11" s="164">
        <v>24</v>
      </c>
      <c r="D11" s="164">
        <v>135</v>
      </c>
      <c r="E11" s="166">
        <v>40</v>
      </c>
      <c r="F11" s="173">
        <v>0</v>
      </c>
      <c r="G11" s="165"/>
      <c r="H11" s="174"/>
      <c r="P11" s="369" t="s">
        <v>530</v>
      </c>
      <c r="Q11" s="369" t="s">
        <v>531</v>
      </c>
      <c r="R11" s="172" t="s">
        <v>525</v>
      </c>
      <c r="S11" s="172">
        <v>17</v>
      </c>
      <c r="T11" s="172">
        <v>110</v>
      </c>
      <c r="U11" s="369">
        <v>0</v>
      </c>
      <c r="V11" s="369"/>
      <c r="W11" s="369" t="s">
        <v>526</v>
      </c>
      <c r="X11" s="172">
        <v>25</v>
      </c>
      <c r="Y11" s="172">
        <v>3.5</v>
      </c>
      <c r="Z11" s="172">
        <v>12</v>
      </c>
      <c r="AA11" s="172">
        <v>1680</v>
      </c>
      <c r="AB11" s="172" t="s">
        <v>527</v>
      </c>
      <c r="AC11" s="172" t="s">
        <v>527</v>
      </c>
      <c r="AD11" s="369">
        <v>0.5</v>
      </c>
      <c r="AE11" s="5"/>
    </row>
    <row r="12" spans="1:31" ht="15.75" customHeight="1">
      <c r="A12" s="162">
        <v>2</v>
      </c>
      <c r="B12" s="163">
        <f aca="true" t="shared" si="0" ref="B12:B17">+C11</f>
        <v>24</v>
      </c>
      <c r="C12" s="164">
        <v>81</v>
      </c>
      <c r="D12" s="164">
        <v>120</v>
      </c>
      <c r="E12" s="166">
        <v>35</v>
      </c>
      <c r="F12" s="173">
        <v>0</v>
      </c>
      <c r="G12" s="165"/>
      <c r="H12" s="174"/>
      <c r="P12" s="369"/>
      <c r="Q12" s="369"/>
      <c r="R12" s="172" t="s">
        <v>532</v>
      </c>
      <c r="S12" s="172">
        <v>18</v>
      </c>
      <c r="T12" s="172">
        <v>115</v>
      </c>
      <c r="U12" s="369"/>
      <c r="V12" s="369"/>
      <c r="W12" s="369"/>
      <c r="X12" s="172">
        <v>50</v>
      </c>
      <c r="Y12" s="172">
        <v>7</v>
      </c>
      <c r="Z12" s="172">
        <v>20</v>
      </c>
      <c r="AA12" s="172">
        <v>2800</v>
      </c>
      <c r="AB12" s="172" t="s">
        <v>527</v>
      </c>
      <c r="AC12" s="172" t="s">
        <v>527</v>
      </c>
      <c r="AD12" s="369"/>
      <c r="AE12" s="5"/>
    </row>
    <row r="13" spans="1:31" ht="15.75" customHeight="1">
      <c r="A13" s="162">
        <v>3</v>
      </c>
      <c r="B13" s="163">
        <f t="shared" si="0"/>
        <v>81</v>
      </c>
      <c r="C13" s="164"/>
      <c r="D13" s="164"/>
      <c r="E13" s="166"/>
      <c r="F13" s="173"/>
      <c r="G13" s="165"/>
      <c r="H13" s="174"/>
      <c r="P13" s="369"/>
      <c r="Q13" s="369"/>
      <c r="R13" s="172" t="s">
        <v>529</v>
      </c>
      <c r="S13" s="172">
        <v>19</v>
      </c>
      <c r="T13" s="172">
        <v>120</v>
      </c>
      <c r="U13" s="369"/>
      <c r="V13" s="369"/>
      <c r="W13" s="369"/>
      <c r="X13" s="172">
        <v>100</v>
      </c>
      <c r="Y13" s="172">
        <v>14</v>
      </c>
      <c r="Z13" s="172">
        <v>32</v>
      </c>
      <c r="AA13" s="172">
        <v>4480</v>
      </c>
      <c r="AB13" s="172" t="s">
        <v>527</v>
      </c>
      <c r="AC13" s="172" t="s">
        <v>527</v>
      </c>
      <c r="AD13" s="369"/>
      <c r="AE13" s="5"/>
    </row>
    <row r="14" spans="1:31" ht="15.75" customHeight="1">
      <c r="A14" s="162">
        <v>4</v>
      </c>
      <c r="B14" s="163">
        <f t="shared" si="0"/>
        <v>0</v>
      </c>
      <c r="C14" s="164"/>
      <c r="D14" s="164"/>
      <c r="E14" s="166"/>
      <c r="F14" s="173"/>
      <c r="G14" s="165"/>
      <c r="H14" s="174"/>
      <c r="P14" s="369" t="s">
        <v>533</v>
      </c>
      <c r="Q14" s="369" t="s">
        <v>534</v>
      </c>
      <c r="R14" s="172" t="s">
        <v>525</v>
      </c>
      <c r="S14" s="369">
        <v>19</v>
      </c>
      <c r="T14" s="369">
        <v>120</v>
      </c>
      <c r="U14" s="369">
        <v>0</v>
      </c>
      <c r="V14" s="369"/>
      <c r="W14" s="369" t="s">
        <v>526</v>
      </c>
      <c r="X14" s="172">
        <v>25</v>
      </c>
      <c r="Y14" s="172">
        <v>3.5</v>
      </c>
      <c r="Z14" s="172">
        <v>28</v>
      </c>
      <c r="AA14" s="172">
        <v>3920</v>
      </c>
      <c r="AB14" s="172" t="s">
        <v>527</v>
      </c>
      <c r="AC14" s="172" t="s">
        <v>527</v>
      </c>
      <c r="AD14" s="369">
        <v>0.5</v>
      </c>
      <c r="AE14" s="5"/>
    </row>
    <row r="15" spans="1:31" ht="15.75" customHeight="1">
      <c r="A15" s="162">
        <v>5</v>
      </c>
      <c r="B15" s="163">
        <f t="shared" si="0"/>
        <v>0</v>
      </c>
      <c r="C15" s="164"/>
      <c r="D15" s="164"/>
      <c r="E15" s="166"/>
      <c r="F15" s="173"/>
      <c r="G15" s="165"/>
      <c r="H15" s="174"/>
      <c r="P15" s="369"/>
      <c r="Q15" s="369"/>
      <c r="R15" s="172" t="s">
        <v>532</v>
      </c>
      <c r="S15" s="369"/>
      <c r="T15" s="369"/>
      <c r="U15" s="369"/>
      <c r="V15" s="369"/>
      <c r="W15" s="369"/>
      <c r="X15" s="172">
        <v>50</v>
      </c>
      <c r="Y15" s="172">
        <v>7</v>
      </c>
      <c r="Z15" s="172">
        <v>44</v>
      </c>
      <c r="AA15" s="172">
        <v>6160</v>
      </c>
      <c r="AB15" s="172" t="s">
        <v>527</v>
      </c>
      <c r="AC15" s="172" t="s">
        <v>527</v>
      </c>
      <c r="AD15" s="369"/>
      <c r="AE15" s="5"/>
    </row>
    <row r="16" spans="1:31" ht="15.75" customHeight="1">
      <c r="A16" s="162">
        <v>6</v>
      </c>
      <c r="B16" s="163">
        <f t="shared" si="0"/>
        <v>0</v>
      </c>
      <c r="C16" s="164"/>
      <c r="D16" s="164"/>
      <c r="E16" s="166"/>
      <c r="F16" s="173"/>
      <c r="G16" s="165"/>
      <c r="H16" s="174"/>
      <c r="P16" s="369"/>
      <c r="Q16" s="369"/>
      <c r="R16" s="172" t="s">
        <v>529</v>
      </c>
      <c r="S16" s="369"/>
      <c r="T16" s="369"/>
      <c r="U16" s="369"/>
      <c r="V16" s="369"/>
      <c r="W16" s="369"/>
      <c r="X16" s="172">
        <v>100</v>
      </c>
      <c r="Y16" s="172">
        <v>14</v>
      </c>
      <c r="Z16" s="172">
        <v>60</v>
      </c>
      <c r="AA16" s="172">
        <v>8400</v>
      </c>
      <c r="AB16" s="172" t="s">
        <v>527</v>
      </c>
      <c r="AC16" s="172" t="s">
        <v>527</v>
      </c>
      <c r="AD16" s="369"/>
      <c r="AE16" s="5"/>
    </row>
    <row r="17" spans="1:31" ht="15.75" customHeight="1">
      <c r="A17" s="162">
        <v>7</v>
      </c>
      <c r="B17" s="163">
        <f t="shared" si="0"/>
        <v>0</v>
      </c>
      <c r="C17" s="164"/>
      <c r="D17" s="164"/>
      <c r="E17" s="166"/>
      <c r="F17" s="173"/>
      <c r="G17" s="165"/>
      <c r="H17" s="174"/>
      <c r="P17" s="369" t="s">
        <v>535</v>
      </c>
      <c r="Q17" s="369" t="s">
        <v>536</v>
      </c>
      <c r="R17" s="172" t="s">
        <v>525</v>
      </c>
      <c r="S17" s="369">
        <v>16.5</v>
      </c>
      <c r="T17" s="369">
        <v>105</v>
      </c>
      <c r="U17" s="369">
        <v>0</v>
      </c>
      <c r="V17" s="369"/>
      <c r="W17" s="369" t="s">
        <v>526</v>
      </c>
      <c r="X17" s="172">
        <v>25</v>
      </c>
      <c r="Y17" s="172">
        <v>3.5</v>
      </c>
      <c r="Z17" s="172">
        <v>12</v>
      </c>
      <c r="AA17" s="172">
        <v>1680</v>
      </c>
      <c r="AB17" s="172" t="s">
        <v>527</v>
      </c>
      <c r="AC17" s="172" t="s">
        <v>527</v>
      </c>
      <c r="AD17" s="369">
        <v>0.5</v>
      </c>
      <c r="AE17" s="5"/>
    </row>
    <row r="18" spans="1:31" ht="15.75" customHeight="1">
      <c r="A18" s="330" t="s">
        <v>129</v>
      </c>
      <c r="B18" s="331"/>
      <c r="C18" s="331"/>
      <c r="D18" s="331"/>
      <c r="E18" s="331"/>
      <c r="F18" s="331"/>
      <c r="G18" s="332"/>
      <c r="H18" s="333"/>
      <c r="P18" s="369"/>
      <c r="Q18" s="369"/>
      <c r="R18" s="172" t="s">
        <v>532</v>
      </c>
      <c r="S18" s="369"/>
      <c r="T18" s="369"/>
      <c r="U18" s="369"/>
      <c r="V18" s="369"/>
      <c r="W18" s="369"/>
      <c r="X18" s="172">
        <v>50</v>
      </c>
      <c r="Y18" s="172">
        <v>7</v>
      </c>
      <c r="Z18" s="172">
        <v>20</v>
      </c>
      <c r="AA18" s="172">
        <v>2800</v>
      </c>
      <c r="AB18" s="172" t="s">
        <v>527</v>
      </c>
      <c r="AC18" s="172" t="s">
        <v>527</v>
      </c>
      <c r="AD18" s="369"/>
      <c r="AE18" s="5"/>
    </row>
    <row r="19" spans="1:31" ht="15.75" customHeight="1">
      <c r="A19" s="335" t="s">
        <v>213</v>
      </c>
      <c r="B19" s="336"/>
      <c r="C19" s="336"/>
      <c r="D19" s="336"/>
      <c r="E19" s="336"/>
      <c r="F19" s="336"/>
      <c r="G19" s="337"/>
      <c r="H19" s="338"/>
      <c r="P19" s="369"/>
      <c r="Q19" s="369"/>
      <c r="R19" s="172" t="s">
        <v>529</v>
      </c>
      <c r="S19" s="369"/>
      <c r="T19" s="369"/>
      <c r="U19" s="369"/>
      <c r="V19" s="369"/>
      <c r="W19" s="369"/>
      <c r="X19" s="172">
        <v>100</v>
      </c>
      <c r="Y19" s="172">
        <v>14</v>
      </c>
      <c r="Z19" s="172">
        <v>32</v>
      </c>
      <c r="AA19" s="172">
        <v>4480</v>
      </c>
      <c r="AB19" s="172" t="s">
        <v>527</v>
      </c>
      <c r="AC19" s="172" t="s">
        <v>527</v>
      </c>
      <c r="AD19" s="369"/>
      <c r="AE19" s="5"/>
    </row>
    <row r="20" spans="1:31" ht="15.75" customHeight="1">
      <c r="A20" s="339" t="s">
        <v>203</v>
      </c>
      <c r="B20" s="340"/>
      <c r="C20" s="340"/>
      <c r="D20" s="340"/>
      <c r="E20" s="340"/>
      <c r="F20" s="340"/>
      <c r="G20" s="341"/>
      <c r="H20" s="342"/>
      <c r="P20" s="363" t="s">
        <v>537</v>
      </c>
      <c r="Q20" s="363" t="s">
        <v>538</v>
      </c>
      <c r="R20" s="172" t="s">
        <v>539</v>
      </c>
      <c r="S20" s="172">
        <v>16.5</v>
      </c>
      <c r="T20" s="172">
        <v>105</v>
      </c>
      <c r="U20" s="371">
        <v>0</v>
      </c>
      <c r="V20" s="372"/>
      <c r="W20" s="172">
        <v>30</v>
      </c>
      <c r="X20" s="371" t="s">
        <v>526</v>
      </c>
      <c r="Y20" s="372"/>
      <c r="Z20" s="172" t="s">
        <v>527</v>
      </c>
      <c r="AA20" s="172" t="s">
        <v>527</v>
      </c>
      <c r="AB20" s="172">
        <v>10</v>
      </c>
      <c r="AC20" s="172">
        <v>440</v>
      </c>
      <c r="AD20" s="363">
        <v>0.3</v>
      </c>
      <c r="AE20" s="5"/>
    </row>
    <row r="21" spans="16:31" ht="15.75" customHeight="1">
      <c r="P21" s="364"/>
      <c r="Q21" s="364"/>
      <c r="R21" s="172" t="s">
        <v>540</v>
      </c>
      <c r="S21" s="172">
        <v>17</v>
      </c>
      <c r="T21" s="172">
        <v>110</v>
      </c>
      <c r="U21" s="373"/>
      <c r="V21" s="374"/>
      <c r="W21" s="172">
        <v>35</v>
      </c>
      <c r="X21" s="373"/>
      <c r="Y21" s="374"/>
      <c r="Z21" s="172" t="s">
        <v>527</v>
      </c>
      <c r="AA21" s="172" t="s">
        <v>527</v>
      </c>
      <c r="AB21" s="172">
        <v>15</v>
      </c>
      <c r="AC21" s="172">
        <v>660</v>
      </c>
      <c r="AD21" s="364"/>
      <c r="AE21" s="5"/>
    </row>
    <row r="22" spans="16:31" ht="15.75" customHeight="1">
      <c r="P22" s="365"/>
      <c r="Q22" s="365"/>
      <c r="R22" s="172" t="s">
        <v>541</v>
      </c>
      <c r="S22" s="172">
        <v>18</v>
      </c>
      <c r="T22" s="172">
        <v>115</v>
      </c>
      <c r="U22" s="375"/>
      <c r="V22" s="376"/>
      <c r="W22" s="172">
        <v>40</v>
      </c>
      <c r="X22" s="375"/>
      <c r="Y22" s="376"/>
      <c r="Z22" s="172" t="s">
        <v>527</v>
      </c>
      <c r="AA22" s="172" t="s">
        <v>527</v>
      </c>
      <c r="AB22" s="172">
        <v>20</v>
      </c>
      <c r="AC22" s="172">
        <v>880</v>
      </c>
      <c r="AD22" s="365"/>
      <c r="AE22" s="5"/>
    </row>
    <row r="23" spans="1:31" ht="18" customHeight="1">
      <c r="A23" s="383" t="s">
        <v>221</v>
      </c>
      <c r="B23" s="357"/>
      <c r="C23" s="357"/>
      <c r="D23" s="357"/>
      <c r="E23" s="357"/>
      <c r="F23" s="357"/>
      <c r="G23" s="357"/>
      <c r="H23" s="357"/>
      <c r="I23" s="234"/>
      <c r="J23" s="234"/>
      <c r="K23" s="234"/>
      <c r="P23" s="363" t="s">
        <v>542</v>
      </c>
      <c r="Q23" s="363" t="s">
        <v>543</v>
      </c>
      <c r="R23" s="172" t="s">
        <v>539</v>
      </c>
      <c r="S23" s="172">
        <v>18</v>
      </c>
      <c r="T23" s="172">
        <v>115</v>
      </c>
      <c r="U23" s="371">
        <v>0</v>
      </c>
      <c r="V23" s="372"/>
      <c r="W23" s="172">
        <v>30</v>
      </c>
      <c r="X23" s="371" t="s">
        <v>526</v>
      </c>
      <c r="Y23" s="372"/>
      <c r="Z23" s="172" t="s">
        <v>527</v>
      </c>
      <c r="AA23" s="172" t="s">
        <v>527</v>
      </c>
      <c r="AB23" s="172">
        <v>20</v>
      </c>
      <c r="AC23" s="172">
        <v>880</v>
      </c>
      <c r="AD23" s="363">
        <v>0.3</v>
      </c>
      <c r="AE23" s="5"/>
    </row>
    <row r="24" spans="1:31" ht="15.75" customHeight="1">
      <c r="A24" s="51" t="s">
        <v>28</v>
      </c>
      <c r="B24" s="314" t="s">
        <v>128</v>
      </c>
      <c r="C24" s="314"/>
      <c r="D24" s="51" t="s">
        <v>496</v>
      </c>
      <c r="E24" s="51" t="s">
        <v>504</v>
      </c>
      <c r="F24" s="314" t="s">
        <v>506</v>
      </c>
      <c r="G24" s="361"/>
      <c r="H24" s="361"/>
      <c r="I24" s="185"/>
      <c r="J24" s="185"/>
      <c r="K24" s="39"/>
      <c r="P24" s="364"/>
      <c r="Q24" s="364"/>
      <c r="R24" s="172" t="s">
        <v>540</v>
      </c>
      <c r="S24" s="172">
        <v>19</v>
      </c>
      <c r="T24" s="172">
        <v>120</v>
      </c>
      <c r="U24" s="373"/>
      <c r="V24" s="374"/>
      <c r="W24" s="172">
        <v>35</v>
      </c>
      <c r="X24" s="373"/>
      <c r="Y24" s="374"/>
      <c r="Z24" s="172" t="s">
        <v>527</v>
      </c>
      <c r="AA24" s="172" t="s">
        <v>527</v>
      </c>
      <c r="AB24" s="172">
        <v>30</v>
      </c>
      <c r="AC24" s="172">
        <v>1320</v>
      </c>
      <c r="AD24" s="364"/>
      <c r="AE24" s="5"/>
    </row>
    <row r="25" spans="1:31" ht="15.75" customHeight="1">
      <c r="A25" s="171" t="s">
        <v>60</v>
      </c>
      <c r="B25" s="315" t="s">
        <v>214</v>
      </c>
      <c r="C25" s="316"/>
      <c r="D25" s="20" t="s">
        <v>498</v>
      </c>
      <c r="E25" s="164">
        <v>40</v>
      </c>
      <c r="F25" s="316" t="s">
        <v>218</v>
      </c>
      <c r="G25" s="316"/>
      <c r="H25" s="316"/>
      <c r="I25" s="235"/>
      <c r="J25" s="235"/>
      <c r="K25" s="235"/>
      <c r="P25" s="365"/>
      <c r="Q25" s="365"/>
      <c r="R25" s="172" t="s">
        <v>541</v>
      </c>
      <c r="S25" s="172">
        <v>19.5</v>
      </c>
      <c r="T25" s="172">
        <v>125</v>
      </c>
      <c r="U25" s="375"/>
      <c r="V25" s="376"/>
      <c r="W25" s="172">
        <v>40</v>
      </c>
      <c r="X25" s="375"/>
      <c r="Y25" s="376"/>
      <c r="Z25" s="172" t="s">
        <v>527</v>
      </c>
      <c r="AA25" s="172" t="s">
        <v>527</v>
      </c>
      <c r="AB25" s="172">
        <v>40</v>
      </c>
      <c r="AC25" s="172">
        <v>1760</v>
      </c>
      <c r="AD25" s="365"/>
      <c r="AE25" s="5"/>
    </row>
    <row r="26" spans="1:31" ht="15.75" customHeight="1">
      <c r="A26" s="171" t="s">
        <v>31</v>
      </c>
      <c r="B26" s="211" t="s">
        <v>215</v>
      </c>
      <c r="C26" s="211"/>
      <c r="D26" s="20" t="s">
        <v>497</v>
      </c>
      <c r="E26" s="164">
        <v>4.5</v>
      </c>
      <c r="F26" s="316" t="s">
        <v>219</v>
      </c>
      <c r="G26" s="316"/>
      <c r="H26" s="316"/>
      <c r="I26" s="235"/>
      <c r="J26" s="235"/>
      <c r="K26" s="235"/>
      <c r="P26" s="363" t="s">
        <v>544</v>
      </c>
      <c r="Q26" s="363" t="s">
        <v>545</v>
      </c>
      <c r="R26" s="172" t="s">
        <v>539</v>
      </c>
      <c r="S26" s="363">
        <v>21.5</v>
      </c>
      <c r="T26" s="363">
        <v>135</v>
      </c>
      <c r="U26" s="371">
        <v>0</v>
      </c>
      <c r="V26" s="372"/>
      <c r="W26" s="172">
        <v>35</v>
      </c>
      <c r="X26" s="371" t="s">
        <v>526</v>
      </c>
      <c r="Y26" s="372"/>
      <c r="Z26" s="172" t="s">
        <v>527</v>
      </c>
      <c r="AA26" s="172" t="s">
        <v>527</v>
      </c>
      <c r="AB26" s="172">
        <v>60</v>
      </c>
      <c r="AC26" s="172">
        <v>2640</v>
      </c>
      <c r="AD26" s="363">
        <v>0.3</v>
      </c>
      <c r="AE26" s="5"/>
    </row>
    <row r="27" spans="1:31" ht="15.75" customHeight="1">
      <c r="A27" s="388" t="s">
        <v>527</v>
      </c>
      <c r="B27" s="384" t="s">
        <v>220</v>
      </c>
      <c r="C27" s="385"/>
      <c r="D27" s="362" t="s">
        <v>526</v>
      </c>
      <c r="E27" s="386">
        <v>1</v>
      </c>
      <c r="F27" s="377" t="s">
        <v>593</v>
      </c>
      <c r="G27" s="378"/>
      <c r="H27" s="379"/>
      <c r="I27" s="235"/>
      <c r="J27" s="235"/>
      <c r="K27" s="235"/>
      <c r="P27" s="364"/>
      <c r="Q27" s="364"/>
      <c r="R27" s="172" t="s">
        <v>540</v>
      </c>
      <c r="S27" s="364"/>
      <c r="T27" s="364"/>
      <c r="U27" s="373"/>
      <c r="V27" s="374"/>
      <c r="W27" s="172">
        <v>40</v>
      </c>
      <c r="X27" s="373"/>
      <c r="Y27" s="374"/>
      <c r="Z27" s="172" t="s">
        <v>527</v>
      </c>
      <c r="AA27" s="172" t="s">
        <v>527</v>
      </c>
      <c r="AB27" s="172">
        <v>80</v>
      </c>
      <c r="AC27" s="172">
        <v>3520</v>
      </c>
      <c r="AD27" s="364"/>
      <c r="AE27" s="5"/>
    </row>
    <row r="28" spans="1:31" ht="15.75" customHeight="1">
      <c r="A28" s="357"/>
      <c r="B28" s="385"/>
      <c r="C28" s="385"/>
      <c r="D28" s="357"/>
      <c r="E28" s="387"/>
      <c r="F28" s="380"/>
      <c r="G28" s="381"/>
      <c r="H28" s="382"/>
      <c r="P28" s="365"/>
      <c r="Q28" s="365"/>
      <c r="R28" s="172" t="s">
        <v>541</v>
      </c>
      <c r="S28" s="365"/>
      <c r="T28" s="365"/>
      <c r="U28" s="375"/>
      <c r="V28" s="376"/>
      <c r="W28" s="172">
        <v>45</v>
      </c>
      <c r="X28" s="375"/>
      <c r="Y28" s="376"/>
      <c r="Z28" s="172" t="s">
        <v>527</v>
      </c>
      <c r="AA28" s="172" t="s">
        <v>527</v>
      </c>
      <c r="AB28" s="172">
        <v>100</v>
      </c>
      <c r="AC28" s="172">
        <v>4400</v>
      </c>
      <c r="AD28" s="365"/>
      <c r="AE28" s="5"/>
    </row>
    <row r="29" spans="16:31" ht="13.5" customHeight="1">
      <c r="P29" s="363" t="s">
        <v>546</v>
      </c>
      <c r="Q29" s="363" t="s">
        <v>584</v>
      </c>
      <c r="R29" s="172" t="s">
        <v>539</v>
      </c>
      <c r="S29" s="172">
        <v>19</v>
      </c>
      <c r="T29" s="172">
        <v>120</v>
      </c>
      <c r="U29" s="371">
        <v>0</v>
      </c>
      <c r="V29" s="372"/>
      <c r="W29" s="172">
        <v>35</v>
      </c>
      <c r="X29" s="371" t="s">
        <v>526</v>
      </c>
      <c r="Y29" s="372"/>
      <c r="Z29" s="172" t="s">
        <v>527</v>
      </c>
      <c r="AA29" s="172" t="s">
        <v>527</v>
      </c>
      <c r="AB29" s="172">
        <v>30</v>
      </c>
      <c r="AC29" s="172">
        <v>1320</v>
      </c>
      <c r="AD29" s="363">
        <v>0.3</v>
      </c>
      <c r="AE29" s="5"/>
    </row>
    <row r="30" spans="16:31" ht="12.75">
      <c r="P30" s="364"/>
      <c r="Q30" s="366"/>
      <c r="R30" s="172" t="s">
        <v>540</v>
      </c>
      <c r="S30" s="172">
        <v>19.5</v>
      </c>
      <c r="T30" s="172">
        <v>125</v>
      </c>
      <c r="U30" s="373"/>
      <c r="V30" s="374"/>
      <c r="W30" s="172">
        <v>40</v>
      </c>
      <c r="X30" s="373"/>
      <c r="Y30" s="374"/>
      <c r="Z30" s="172" t="s">
        <v>527</v>
      </c>
      <c r="AA30" s="172" t="s">
        <v>527</v>
      </c>
      <c r="AB30" s="172">
        <v>40</v>
      </c>
      <c r="AC30" s="172">
        <v>1760</v>
      </c>
      <c r="AD30" s="364"/>
      <c r="AE30" s="5"/>
    </row>
    <row r="31" spans="1:31" ht="18" customHeight="1">
      <c r="A31" s="322" t="s">
        <v>222</v>
      </c>
      <c r="B31" s="323"/>
      <c r="C31" s="323"/>
      <c r="D31" s="323"/>
      <c r="E31" s="323"/>
      <c r="F31" s="323"/>
      <c r="G31" s="323"/>
      <c r="H31" s="323"/>
      <c r="I31" s="323"/>
      <c r="J31" s="323"/>
      <c r="K31" s="323"/>
      <c r="L31" s="323"/>
      <c r="M31" s="323"/>
      <c r="N31" s="323"/>
      <c r="P31" s="365"/>
      <c r="Q31" s="367"/>
      <c r="R31" s="172" t="s">
        <v>541</v>
      </c>
      <c r="S31" s="172">
        <v>20.5</v>
      </c>
      <c r="T31" s="172">
        <v>130</v>
      </c>
      <c r="U31" s="375"/>
      <c r="V31" s="376"/>
      <c r="W31" s="172">
        <v>45</v>
      </c>
      <c r="X31" s="375"/>
      <c r="Y31" s="376"/>
      <c r="Z31" s="172" t="s">
        <v>527</v>
      </c>
      <c r="AA31" s="172" t="s">
        <v>527</v>
      </c>
      <c r="AB31" s="172">
        <v>50</v>
      </c>
      <c r="AC31" s="172">
        <v>2200</v>
      </c>
      <c r="AD31" s="365"/>
      <c r="AE31" s="5"/>
    </row>
    <row r="32" spans="1:31" ht="14.25">
      <c r="A32" s="327" t="s">
        <v>211</v>
      </c>
      <c r="B32" s="312" t="s">
        <v>224</v>
      </c>
      <c r="C32" s="312" t="s">
        <v>225</v>
      </c>
      <c r="D32" s="312" t="s">
        <v>226</v>
      </c>
      <c r="E32" s="319" t="s">
        <v>227</v>
      </c>
      <c r="F32" s="319" t="s">
        <v>228</v>
      </c>
      <c r="G32" s="312" t="s">
        <v>229</v>
      </c>
      <c r="H32" s="319" t="s">
        <v>230</v>
      </c>
      <c r="I32" s="318" t="s">
        <v>114</v>
      </c>
      <c r="J32" s="317" t="s">
        <v>231</v>
      </c>
      <c r="K32" s="318" t="s">
        <v>232</v>
      </c>
      <c r="L32" s="318" t="s">
        <v>113</v>
      </c>
      <c r="M32" s="318" t="s">
        <v>241</v>
      </c>
      <c r="N32" s="318" t="s">
        <v>112</v>
      </c>
      <c r="P32" s="353" t="s">
        <v>712</v>
      </c>
      <c r="Q32" s="354"/>
      <c r="R32" s="354"/>
      <c r="S32" s="354"/>
      <c r="T32" s="354"/>
      <c r="U32" s="354"/>
      <c r="V32" s="354"/>
      <c r="W32" s="354"/>
      <c r="X32" s="354"/>
      <c r="Y32" s="354"/>
      <c r="Z32" s="354"/>
      <c r="AA32" s="354"/>
      <c r="AB32" s="354"/>
      <c r="AC32" s="354"/>
      <c r="AD32" s="355"/>
      <c r="AE32" s="5"/>
    </row>
    <row r="33" spans="1:31" ht="14.25">
      <c r="A33" s="328"/>
      <c r="B33" s="313"/>
      <c r="C33" s="313"/>
      <c r="D33" s="313"/>
      <c r="E33" s="312"/>
      <c r="F33" s="325"/>
      <c r="G33" s="313"/>
      <c r="H33" s="319"/>
      <c r="I33" s="326"/>
      <c r="J33" s="318"/>
      <c r="K33" s="318"/>
      <c r="L33" s="324"/>
      <c r="M33" s="325"/>
      <c r="N33" s="324"/>
      <c r="P33" s="350" t="s">
        <v>574</v>
      </c>
      <c r="Q33" s="351"/>
      <c r="R33" s="351"/>
      <c r="S33" s="351"/>
      <c r="T33" s="351"/>
      <c r="U33" s="351"/>
      <c r="V33" s="351"/>
      <c r="W33" s="351"/>
      <c r="X33" s="351"/>
      <c r="Y33" s="351"/>
      <c r="Z33" s="351"/>
      <c r="AA33" s="351"/>
      <c r="AB33" s="351"/>
      <c r="AC33" s="351"/>
      <c r="AD33" s="352"/>
      <c r="AE33" s="5"/>
    </row>
    <row r="34" spans="1:31" ht="15.75" customHeight="1">
      <c r="A34" s="328"/>
      <c r="B34" s="313"/>
      <c r="C34" s="313"/>
      <c r="D34" s="313"/>
      <c r="E34" s="312"/>
      <c r="F34" s="325"/>
      <c r="G34" s="313"/>
      <c r="H34" s="319"/>
      <c r="I34" s="326"/>
      <c r="J34" s="318"/>
      <c r="K34" s="318"/>
      <c r="L34" s="324"/>
      <c r="M34" s="325"/>
      <c r="N34" s="324"/>
      <c r="P34" s="350" t="s">
        <v>575</v>
      </c>
      <c r="Q34" s="351"/>
      <c r="R34" s="351"/>
      <c r="S34" s="351"/>
      <c r="T34" s="351"/>
      <c r="U34" s="351"/>
      <c r="V34" s="351"/>
      <c r="W34" s="351"/>
      <c r="X34" s="351"/>
      <c r="Y34" s="351"/>
      <c r="Z34" s="351"/>
      <c r="AA34" s="351"/>
      <c r="AB34" s="351"/>
      <c r="AC34" s="351"/>
      <c r="AD34" s="352"/>
      <c r="AE34" s="5"/>
    </row>
    <row r="35" spans="1:31" ht="12.75" customHeight="1">
      <c r="A35" s="328"/>
      <c r="B35" s="362" t="s">
        <v>497</v>
      </c>
      <c r="C35" s="362" t="s">
        <v>497</v>
      </c>
      <c r="D35" s="356" t="s">
        <v>23</v>
      </c>
      <c r="E35" s="359" t="s">
        <v>24</v>
      </c>
      <c r="F35" s="359" t="s">
        <v>24</v>
      </c>
      <c r="G35" s="356" t="s">
        <v>25</v>
      </c>
      <c r="H35" s="368" t="s">
        <v>24</v>
      </c>
      <c r="I35" s="320" t="s">
        <v>24</v>
      </c>
      <c r="J35" s="320" t="s">
        <v>24</v>
      </c>
      <c r="K35" s="320" t="s">
        <v>24</v>
      </c>
      <c r="L35" s="320" t="s">
        <v>24</v>
      </c>
      <c r="M35" s="320" t="s">
        <v>30</v>
      </c>
      <c r="N35" s="320" t="s">
        <v>24</v>
      </c>
      <c r="P35" s="350" t="s">
        <v>576</v>
      </c>
      <c r="Q35" s="351"/>
      <c r="R35" s="351"/>
      <c r="S35" s="351"/>
      <c r="T35" s="351"/>
      <c r="U35" s="351"/>
      <c r="V35" s="351"/>
      <c r="W35" s="351"/>
      <c r="X35" s="351"/>
      <c r="Y35" s="351"/>
      <c r="Z35" s="351"/>
      <c r="AA35" s="351"/>
      <c r="AB35" s="351"/>
      <c r="AC35" s="351"/>
      <c r="AD35" s="352"/>
      <c r="AE35" s="5"/>
    </row>
    <row r="36" spans="1:31" ht="15.75">
      <c r="A36" s="328"/>
      <c r="B36" s="357"/>
      <c r="C36" s="357"/>
      <c r="D36" s="357"/>
      <c r="E36" s="360"/>
      <c r="F36" s="361"/>
      <c r="G36" s="357"/>
      <c r="H36" s="368"/>
      <c r="I36" s="321"/>
      <c r="J36" s="321"/>
      <c r="K36" s="321"/>
      <c r="L36" s="358"/>
      <c r="M36" s="361"/>
      <c r="N36" s="358"/>
      <c r="P36" s="350" t="s">
        <v>577</v>
      </c>
      <c r="Q36" s="351"/>
      <c r="R36" s="351"/>
      <c r="S36" s="351"/>
      <c r="T36" s="351"/>
      <c r="U36" s="351"/>
      <c r="V36" s="351"/>
      <c r="W36" s="351"/>
      <c r="X36" s="351"/>
      <c r="Y36" s="351"/>
      <c r="Z36" s="351"/>
      <c r="AA36" s="351"/>
      <c r="AB36" s="351"/>
      <c r="AC36" s="351"/>
      <c r="AD36" s="352"/>
      <c r="AE36" s="5"/>
    </row>
    <row r="37" spans="1:31" ht="14.25">
      <c r="A37" s="167">
        <v>1</v>
      </c>
      <c r="B37" s="167">
        <v>0.5</v>
      </c>
      <c r="C37" s="167">
        <v>1</v>
      </c>
      <c r="D37" s="27">
        <f aca="true" t="shared" si="1" ref="D37:D68">IF(AND($B37&gt;$B$11,$B37&lt;$C$11),$D$11,IF(AND($B37&gt;$B$12,$B37&lt;$C$12),$D$12,IF(AND($B37&gt;$B$13,$B37&lt;$C$13),$D$13,IF(AND($B37&gt;$B$14,$B37&lt;$C$14),$D$14,IF(AND($B37&gt;$B$15,$B37&lt;$C$15),$D$15,IF(AND($B37&gt;$B$16,$B37&lt;$C$16),$D$16,IF(AND($B37&gt;$B$17,$B37&lt;$C$17),$D$17)))))))</f>
        <v>135</v>
      </c>
      <c r="E37" s="168">
        <f>+B37*D37/1728</f>
        <v>0.0390625</v>
      </c>
      <c r="F37" s="117">
        <f aca="true" t="shared" si="2" ref="F37:F68">IF(B37&lt;$E$25,E37,E37-0.0361*(B37-$E$25))</f>
        <v>0.0390625</v>
      </c>
      <c r="G37" s="27">
        <f aca="true" t="shared" si="3" ref="G37:G68">IF(AND($B37&gt;$B$11,$B37&lt;$C$11),$E$11,IF(AND($B37&gt;$B$12,$B37&lt;$C$12),$E$12,IF(AND($B37&gt;$B$13,$B37&lt;$C$13),$E$13,IF(AND($B37&gt;$B$14,$B37&lt;$C$14),$E$14,IF(AND($B37&gt;$B$15,$B37&lt;$C$15),$E$15,IF(AND($B37&gt;$B$16,$B37&lt;$C$16),$E$16,IF(AND($B37&gt;$B$17,$B37&lt;$C$17),$E$17)))))))</f>
        <v>40</v>
      </c>
      <c r="H37" s="27">
        <f>IF(AND($B37&gt;$B$11,$B37&lt;$C$11),$F$11,IF(AND($B37&gt;$B$12,$B37&lt;$C$12),$F$12,IF(AND($B37&gt;$B$13,$B37&lt;$C$13),$F$13,IF(AND($B37&gt;$B$14,$B37&lt;$C$14),$F$14,IF(AND($B37&gt;$B$15,$B37&lt;$C$15),$F$15,IF(AND($B37&gt;$B$16,$B37&lt;$C$16),$F$16,IF(AND($B37&gt;$B$17,$B37&lt;$C$17),$F$17)))))))</f>
        <v>0</v>
      </c>
      <c r="I37" s="116">
        <f aca="true" t="shared" si="4" ref="I37:I68">IF(AND($B37&gt;$B$11,$B37&lt;$C$11),$G$11,IF(AND($B37&gt;$B$12,$B37&lt;$C$12),$G$12,IF(AND($B37&gt;$B$13,$B37&lt;$C$13),$G$13,IF(AND($B37&gt;$B$14,$B37&lt;$C$14),$G$14,IF(AND($B37&gt;$B$15,$B37&lt;$C$15),$G$15,IF(AND($B37&gt;$B$16,$B37&lt;$C$16),$G$16,IF(AND($B37&gt;$B$17,$B37&lt;$C$17),$G$17)))))))</f>
        <v>0</v>
      </c>
      <c r="J37" s="116">
        <f>IF(AND($B37&gt;$B$11,$B37&lt;$C$11),$H$11,IF(AND($B37&gt;$B$12,$B37&lt;$C$12),$H$12,IF(AND($B37&gt;$B$13,$B37&lt;$C$13),$H$13,IF(AND($B37&gt;$B$14,$B37&lt;$C$14),$H$14,IF(AND($B37&gt;$B$15,$B37&lt;$C$15),$H$15,IF(AND($B37&gt;$B$16,$B37&lt;$C$16),$H$16,IF(AND($B37&gt;$B$17,$B37&lt;$C$17),$H$17)))))))</f>
        <v>0</v>
      </c>
      <c r="K37" s="116">
        <f aca="true" t="shared" si="5" ref="K37:K68">IF($B37&gt;4*$E$26,H37,H37*(1/3+$B37/(2*$E$26)/3))</f>
        <v>0</v>
      </c>
      <c r="L37" s="116">
        <f aca="true" t="shared" si="6" ref="L37:L68">IF($B37&gt;4*$E$26,I37,I37*(1/3+$B37/(2*$E$26)/3))</f>
        <v>0</v>
      </c>
      <c r="M37" s="116">
        <f aca="true" t="shared" si="7" ref="M37:M68">IF(G37&lt;0.5,0,(1+SIN(G37*3.1416/180))/(1-SIN(G37*3.1416/180)))</f>
        <v>4.598929533862095</v>
      </c>
      <c r="N37" s="116">
        <f aca="true" t="shared" si="8" ref="N37:N68">IF($E$27=1,3*($F37*$M37+2*$K37*$M37^0.5),IF($E$27=2,9*$L37,IF($E$27=3,$J37,0)))</f>
        <v>0.5389370547494643</v>
      </c>
      <c r="P37" s="347" t="s">
        <v>583</v>
      </c>
      <c r="Q37" s="348"/>
      <c r="R37" s="348"/>
      <c r="S37" s="348"/>
      <c r="T37" s="348"/>
      <c r="U37" s="348"/>
      <c r="V37" s="348"/>
      <c r="W37" s="348"/>
      <c r="X37" s="348"/>
      <c r="Y37" s="348"/>
      <c r="Z37" s="348"/>
      <c r="AA37" s="348"/>
      <c r="AB37" s="348"/>
      <c r="AC37" s="348"/>
      <c r="AD37" s="349"/>
      <c r="AE37" s="5"/>
    </row>
    <row r="38" spans="1:31" ht="12.75" customHeight="1">
      <c r="A38" s="167">
        <f>+A37+1</f>
        <v>2</v>
      </c>
      <c r="B38" s="167">
        <f>+B37+1</f>
        <v>1.5</v>
      </c>
      <c r="C38" s="167">
        <v>1</v>
      </c>
      <c r="D38" s="27">
        <f t="shared" si="1"/>
        <v>135</v>
      </c>
      <c r="E38" s="168">
        <f aca="true" t="shared" si="9" ref="E38:E69">+E37+(D37+D38)/2/1728</f>
        <v>0.1171875</v>
      </c>
      <c r="F38" s="117">
        <f t="shared" si="2"/>
        <v>0.1171875</v>
      </c>
      <c r="G38" s="27">
        <f t="shared" si="3"/>
        <v>40</v>
      </c>
      <c r="H38" s="27">
        <f>IF(AND($B38&gt;$B$11,$B38&lt;$C$11),$F$11,IF(AND($B38&gt;$B$12,$B38&lt;$C$12),$F$12,IF(AND($B38&gt;$B$13,$B38&lt;$C$13),$F$13,IF(AND($B38&gt;$B$14,$B38&lt;$C$14),$F$14,IF(AND($B38&gt;$B$15,$B38&lt;$C$15),$F$15,IF(AND($B38&gt;$B$16,$B38&lt;$C$16),$F$16,IF(AND($B38&gt;$B$17,$B38&lt;$C$17),$F$17)))))))</f>
        <v>0</v>
      </c>
      <c r="I38" s="116">
        <f t="shared" si="4"/>
        <v>0</v>
      </c>
      <c r="J38" s="116">
        <f aca="true" t="shared" si="10" ref="J38:J101">IF(AND($B38&gt;$B$11,$B38&lt;$C$11),$H$11,IF(AND($B38&gt;$B$12,$B38&lt;$C$12),$H$12,IF(AND($B38&gt;$B$13,$B38&lt;$C$13),$H$13,IF(AND($B38&gt;$B$14,$B38&lt;$C$14),$H$14,IF(AND($B38&gt;$B$15,$B38&lt;$C$15),$H$15,IF(AND($B38&gt;$B$16,$B38&lt;$C$16),$H$16,IF(AND($B38&gt;$B$17,$B38&lt;$C$17),$H$17)))))))</f>
        <v>0</v>
      </c>
      <c r="K38" s="116">
        <f t="shared" si="5"/>
        <v>0</v>
      </c>
      <c r="L38" s="116">
        <f t="shared" si="6"/>
        <v>0</v>
      </c>
      <c r="M38" s="116">
        <f t="shared" si="7"/>
        <v>4.598929533862095</v>
      </c>
      <c r="N38" s="116">
        <f t="shared" si="8"/>
        <v>1.6168111642483929</v>
      </c>
      <c r="AE38" s="5"/>
    </row>
    <row r="39" spans="1:31" ht="12.75" customHeight="1">
      <c r="A39" s="167">
        <f aca="true" t="shared" si="11" ref="A39:B102">+A38+1</f>
        <v>3</v>
      </c>
      <c r="B39" s="167">
        <f t="shared" si="11"/>
        <v>2.5</v>
      </c>
      <c r="C39" s="167">
        <v>1</v>
      </c>
      <c r="D39" s="27">
        <f t="shared" si="1"/>
        <v>135</v>
      </c>
      <c r="E39" s="168">
        <f t="shared" si="9"/>
        <v>0.1953125</v>
      </c>
      <c r="F39" s="117">
        <f t="shared" si="2"/>
        <v>0.1953125</v>
      </c>
      <c r="G39" s="27">
        <f t="shared" si="3"/>
        <v>40</v>
      </c>
      <c r="H39" s="27">
        <f aca="true" t="shared" si="12" ref="H39:H102">IF(AND($B39&gt;$B$11,$B39&lt;$C$11),$F$11,IF(AND($B39&gt;$B$12,$B39&lt;$C$12),$F$12,IF(AND($B39&gt;$B$13,$B39&lt;$C$13),$F$13,IF(AND($B39&gt;$B$14,$B39&lt;$C$14),$F$14,IF(AND($B39&gt;$B$15,$B39&lt;$C$15),$F$15,IF(AND($B39&gt;$B$16,$B39&lt;$C$16),$F$16,IF(AND($B39&gt;$B$17,$B39&lt;$C$17),$F$17)))))))</f>
        <v>0</v>
      </c>
      <c r="I39" s="116">
        <f t="shared" si="4"/>
        <v>0</v>
      </c>
      <c r="J39" s="116">
        <f t="shared" si="10"/>
        <v>0</v>
      </c>
      <c r="K39" s="116">
        <f t="shared" si="5"/>
        <v>0</v>
      </c>
      <c r="L39" s="116">
        <f t="shared" si="6"/>
        <v>0</v>
      </c>
      <c r="M39" s="116">
        <f t="shared" si="7"/>
        <v>4.598929533862095</v>
      </c>
      <c r="N39" s="116">
        <f t="shared" si="8"/>
        <v>2.6946852737473215</v>
      </c>
      <c r="AE39" s="5"/>
    </row>
    <row r="40" spans="1:31" ht="12.75">
      <c r="A40" s="167">
        <f t="shared" si="11"/>
        <v>4</v>
      </c>
      <c r="B40" s="167">
        <f t="shared" si="11"/>
        <v>3.5</v>
      </c>
      <c r="C40" s="167">
        <v>1</v>
      </c>
      <c r="D40" s="27">
        <f t="shared" si="1"/>
        <v>135</v>
      </c>
      <c r="E40" s="168">
        <f t="shared" si="9"/>
        <v>0.2734375</v>
      </c>
      <c r="F40" s="117">
        <f t="shared" si="2"/>
        <v>0.2734375</v>
      </c>
      <c r="G40" s="27">
        <f t="shared" si="3"/>
        <v>40</v>
      </c>
      <c r="H40" s="27">
        <f t="shared" si="12"/>
        <v>0</v>
      </c>
      <c r="I40" s="116">
        <f t="shared" si="4"/>
        <v>0</v>
      </c>
      <c r="J40" s="116">
        <f t="shared" si="10"/>
        <v>0</v>
      </c>
      <c r="K40" s="116">
        <f t="shared" si="5"/>
        <v>0</v>
      </c>
      <c r="L40" s="116">
        <f t="shared" si="6"/>
        <v>0</v>
      </c>
      <c r="M40" s="116">
        <f t="shared" si="7"/>
        <v>4.598929533862095</v>
      </c>
      <c r="N40" s="116">
        <f t="shared" si="8"/>
        <v>3.77255938324625</v>
      </c>
      <c r="AE40" s="5"/>
    </row>
    <row r="41" spans="1:31" ht="12.75">
      <c r="A41" s="167">
        <f t="shared" si="11"/>
        <v>5</v>
      </c>
      <c r="B41" s="167">
        <f t="shared" si="11"/>
        <v>4.5</v>
      </c>
      <c r="C41" s="167">
        <v>1</v>
      </c>
      <c r="D41" s="27">
        <f t="shared" si="1"/>
        <v>135</v>
      </c>
      <c r="E41" s="168">
        <f t="shared" si="9"/>
        <v>0.3515625</v>
      </c>
      <c r="F41" s="117">
        <f t="shared" si="2"/>
        <v>0.3515625</v>
      </c>
      <c r="G41" s="27">
        <f t="shared" si="3"/>
        <v>40</v>
      </c>
      <c r="H41" s="27">
        <f t="shared" si="12"/>
        <v>0</v>
      </c>
      <c r="I41" s="116">
        <f t="shared" si="4"/>
        <v>0</v>
      </c>
      <c r="J41" s="116">
        <f t="shared" si="10"/>
        <v>0</v>
      </c>
      <c r="K41" s="116">
        <f t="shared" si="5"/>
        <v>0</v>
      </c>
      <c r="L41" s="116">
        <f t="shared" si="6"/>
        <v>0</v>
      </c>
      <c r="M41" s="116">
        <f t="shared" si="7"/>
        <v>4.598929533862095</v>
      </c>
      <c r="N41" s="116">
        <f t="shared" si="8"/>
        <v>4.850433492745179</v>
      </c>
      <c r="AE41" s="5"/>
    </row>
    <row r="42" spans="1:31" ht="12.75">
      <c r="A42" s="167">
        <f t="shared" si="11"/>
        <v>6</v>
      </c>
      <c r="B42" s="167">
        <f t="shared" si="11"/>
        <v>5.5</v>
      </c>
      <c r="C42" s="167">
        <v>1</v>
      </c>
      <c r="D42" s="27">
        <f t="shared" si="1"/>
        <v>135</v>
      </c>
      <c r="E42" s="168">
        <f t="shared" si="9"/>
        <v>0.4296875</v>
      </c>
      <c r="F42" s="117">
        <f t="shared" si="2"/>
        <v>0.4296875</v>
      </c>
      <c r="G42" s="27">
        <f t="shared" si="3"/>
        <v>40</v>
      </c>
      <c r="H42" s="27">
        <f t="shared" si="12"/>
        <v>0</v>
      </c>
      <c r="I42" s="116">
        <f t="shared" si="4"/>
        <v>0</v>
      </c>
      <c r="J42" s="116">
        <f t="shared" si="10"/>
        <v>0</v>
      </c>
      <c r="K42" s="116">
        <f t="shared" si="5"/>
        <v>0</v>
      </c>
      <c r="L42" s="116">
        <f t="shared" si="6"/>
        <v>0</v>
      </c>
      <c r="M42" s="116">
        <f t="shared" si="7"/>
        <v>4.598929533862095</v>
      </c>
      <c r="N42" s="116">
        <f t="shared" si="8"/>
        <v>5.928307602244107</v>
      </c>
      <c r="AE42" s="5"/>
    </row>
    <row r="43" spans="1:31" ht="12.75">
      <c r="A43" s="167">
        <f t="shared" si="11"/>
        <v>7</v>
      </c>
      <c r="B43" s="167">
        <f t="shared" si="11"/>
        <v>6.5</v>
      </c>
      <c r="C43" s="167">
        <v>1</v>
      </c>
      <c r="D43" s="27">
        <f t="shared" si="1"/>
        <v>135</v>
      </c>
      <c r="E43" s="168">
        <f t="shared" si="9"/>
        <v>0.5078125</v>
      </c>
      <c r="F43" s="117">
        <f t="shared" si="2"/>
        <v>0.5078125</v>
      </c>
      <c r="G43" s="27">
        <f t="shared" si="3"/>
        <v>40</v>
      </c>
      <c r="H43" s="27">
        <f t="shared" si="12"/>
        <v>0</v>
      </c>
      <c r="I43" s="116">
        <f t="shared" si="4"/>
        <v>0</v>
      </c>
      <c r="J43" s="116">
        <f t="shared" si="10"/>
        <v>0</v>
      </c>
      <c r="K43" s="116">
        <f t="shared" si="5"/>
        <v>0</v>
      </c>
      <c r="L43" s="116">
        <f t="shared" si="6"/>
        <v>0</v>
      </c>
      <c r="M43" s="116">
        <f t="shared" si="7"/>
        <v>4.598929533862095</v>
      </c>
      <c r="N43" s="116">
        <f t="shared" si="8"/>
        <v>7.006181711743035</v>
      </c>
      <c r="AE43" s="5"/>
    </row>
    <row r="44" spans="1:31" ht="12.75">
      <c r="A44" s="167">
        <f t="shared" si="11"/>
        <v>8</v>
      </c>
      <c r="B44" s="167">
        <f t="shared" si="11"/>
        <v>7.5</v>
      </c>
      <c r="C44" s="167">
        <v>1</v>
      </c>
      <c r="D44" s="27">
        <f t="shared" si="1"/>
        <v>135</v>
      </c>
      <c r="E44" s="168">
        <f t="shared" si="9"/>
        <v>0.5859375</v>
      </c>
      <c r="F44" s="117">
        <f t="shared" si="2"/>
        <v>0.5859375</v>
      </c>
      <c r="G44" s="27">
        <f t="shared" si="3"/>
        <v>40</v>
      </c>
      <c r="H44" s="27">
        <f t="shared" si="12"/>
        <v>0</v>
      </c>
      <c r="I44" s="116">
        <f t="shared" si="4"/>
        <v>0</v>
      </c>
      <c r="J44" s="116">
        <f t="shared" si="10"/>
        <v>0</v>
      </c>
      <c r="K44" s="116">
        <f t="shared" si="5"/>
        <v>0</v>
      </c>
      <c r="L44" s="116">
        <f t="shared" si="6"/>
        <v>0</v>
      </c>
      <c r="M44" s="116">
        <f t="shared" si="7"/>
        <v>4.598929533862095</v>
      </c>
      <c r="N44" s="116">
        <f t="shared" si="8"/>
        <v>8.084055821241964</v>
      </c>
      <c r="AE44" s="5"/>
    </row>
    <row r="45" spans="1:31" ht="12.75">
      <c r="A45" s="167">
        <f t="shared" si="11"/>
        <v>9</v>
      </c>
      <c r="B45" s="167">
        <f t="shared" si="11"/>
        <v>8.5</v>
      </c>
      <c r="C45" s="167">
        <v>1</v>
      </c>
      <c r="D45" s="27">
        <f t="shared" si="1"/>
        <v>135</v>
      </c>
      <c r="E45" s="168">
        <f t="shared" si="9"/>
        <v>0.6640625</v>
      </c>
      <c r="F45" s="117">
        <f t="shared" si="2"/>
        <v>0.6640625</v>
      </c>
      <c r="G45" s="27">
        <f t="shared" si="3"/>
        <v>40</v>
      </c>
      <c r="H45" s="27">
        <f t="shared" si="12"/>
        <v>0</v>
      </c>
      <c r="I45" s="116">
        <f t="shared" si="4"/>
        <v>0</v>
      </c>
      <c r="J45" s="116">
        <f t="shared" si="10"/>
        <v>0</v>
      </c>
      <c r="K45" s="116">
        <f t="shared" si="5"/>
        <v>0</v>
      </c>
      <c r="L45" s="116">
        <f t="shared" si="6"/>
        <v>0</v>
      </c>
      <c r="M45" s="116">
        <f t="shared" si="7"/>
        <v>4.598929533862095</v>
      </c>
      <c r="N45" s="116">
        <f t="shared" si="8"/>
        <v>9.161929930740893</v>
      </c>
      <c r="AE45" s="5"/>
    </row>
    <row r="46" spans="1:31" ht="12.75">
      <c r="A46" s="167">
        <f t="shared" si="11"/>
        <v>10</v>
      </c>
      <c r="B46" s="167">
        <f t="shared" si="11"/>
        <v>9.5</v>
      </c>
      <c r="C46" s="167">
        <v>1</v>
      </c>
      <c r="D46" s="27">
        <f t="shared" si="1"/>
        <v>135</v>
      </c>
      <c r="E46" s="168">
        <f t="shared" si="9"/>
        <v>0.7421875</v>
      </c>
      <c r="F46" s="117">
        <f t="shared" si="2"/>
        <v>0.7421875</v>
      </c>
      <c r="G46" s="27">
        <f t="shared" si="3"/>
        <v>40</v>
      </c>
      <c r="H46" s="27">
        <f t="shared" si="12"/>
        <v>0</v>
      </c>
      <c r="I46" s="116">
        <f t="shared" si="4"/>
        <v>0</v>
      </c>
      <c r="J46" s="116">
        <f t="shared" si="10"/>
        <v>0</v>
      </c>
      <c r="K46" s="116">
        <f t="shared" si="5"/>
        <v>0</v>
      </c>
      <c r="L46" s="116">
        <f t="shared" si="6"/>
        <v>0</v>
      </c>
      <c r="M46" s="116">
        <f t="shared" si="7"/>
        <v>4.598929533862095</v>
      </c>
      <c r="N46" s="116">
        <f t="shared" si="8"/>
        <v>10.239804040239822</v>
      </c>
      <c r="AE46" s="5"/>
    </row>
    <row r="47" spans="1:31" ht="12.75">
      <c r="A47" s="167">
        <f t="shared" si="11"/>
        <v>11</v>
      </c>
      <c r="B47" s="167">
        <f t="shared" si="11"/>
        <v>10.5</v>
      </c>
      <c r="C47" s="167">
        <v>1</v>
      </c>
      <c r="D47" s="27">
        <f t="shared" si="1"/>
        <v>135</v>
      </c>
      <c r="E47" s="168">
        <f t="shared" si="9"/>
        <v>0.8203125</v>
      </c>
      <c r="F47" s="117">
        <f t="shared" si="2"/>
        <v>0.8203125</v>
      </c>
      <c r="G47" s="27">
        <f t="shared" si="3"/>
        <v>40</v>
      </c>
      <c r="H47" s="27">
        <f t="shared" si="12"/>
        <v>0</v>
      </c>
      <c r="I47" s="116">
        <f t="shared" si="4"/>
        <v>0</v>
      </c>
      <c r="J47" s="116">
        <f t="shared" si="10"/>
        <v>0</v>
      </c>
      <c r="K47" s="116">
        <f t="shared" si="5"/>
        <v>0</v>
      </c>
      <c r="L47" s="116">
        <f t="shared" si="6"/>
        <v>0</v>
      </c>
      <c r="M47" s="116">
        <f t="shared" si="7"/>
        <v>4.598929533862095</v>
      </c>
      <c r="N47" s="116">
        <f t="shared" si="8"/>
        <v>11.317678149738748</v>
      </c>
      <c r="AE47" s="5"/>
    </row>
    <row r="48" spans="1:14" ht="12.75">
      <c r="A48" s="167">
        <f t="shared" si="11"/>
        <v>12</v>
      </c>
      <c r="B48" s="167">
        <f t="shared" si="11"/>
        <v>11.5</v>
      </c>
      <c r="C48" s="167">
        <v>1</v>
      </c>
      <c r="D48" s="27">
        <f t="shared" si="1"/>
        <v>135</v>
      </c>
      <c r="E48" s="168">
        <f t="shared" si="9"/>
        <v>0.8984375</v>
      </c>
      <c r="F48" s="117">
        <f t="shared" si="2"/>
        <v>0.8984375</v>
      </c>
      <c r="G48" s="27">
        <f t="shared" si="3"/>
        <v>40</v>
      </c>
      <c r="H48" s="27">
        <f t="shared" si="12"/>
        <v>0</v>
      </c>
      <c r="I48" s="116">
        <f t="shared" si="4"/>
        <v>0</v>
      </c>
      <c r="J48" s="116">
        <f t="shared" si="10"/>
        <v>0</v>
      </c>
      <c r="K48" s="116">
        <f t="shared" si="5"/>
        <v>0</v>
      </c>
      <c r="L48" s="116">
        <f t="shared" si="6"/>
        <v>0</v>
      </c>
      <c r="M48" s="116">
        <f t="shared" si="7"/>
        <v>4.598929533862095</v>
      </c>
      <c r="N48" s="116">
        <f t="shared" si="8"/>
        <v>12.395552259237677</v>
      </c>
    </row>
    <row r="49" spans="1:14" ht="12.75">
      <c r="A49" s="167">
        <f t="shared" si="11"/>
        <v>13</v>
      </c>
      <c r="B49" s="167">
        <f t="shared" si="11"/>
        <v>12.5</v>
      </c>
      <c r="C49" s="167">
        <v>1</v>
      </c>
      <c r="D49" s="27">
        <f t="shared" si="1"/>
        <v>135</v>
      </c>
      <c r="E49" s="168">
        <f t="shared" si="9"/>
        <v>0.9765625</v>
      </c>
      <c r="F49" s="117">
        <f t="shared" si="2"/>
        <v>0.9765625</v>
      </c>
      <c r="G49" s="27">
        <f t="shared" si="3"/>
        <v>40</v>
      </c>
      <c r="H49" s="27">
        <f t="shared" si="12"/>
        <v>0</v>
      </c>
      <c r="I49" s="116">
        <f t="shared" si="4"/>
        <v>0</v>
      </c>
      <c r="J49" s="116">
        <f t="shared" si="10"/>
        <v>0</v>
      </c>
      <c r="K49" s="116">
        <f t="shared" si="5"/>
        <v>0</v>
      </c>
      <c r="L49" s="116">
        <f t="shared" si="6"/>
        <v>0</v>
      </c>
      <c r="M49" s="116">
        <f t="shared" si="7"/>
        <v>4.598929533862095</v>
      </c>
      <c r="N49" s="116">
        <f t="shared" si="8"/>
        <v>13.473426368736607</v>
      </c>
    </row>
    <row r="50" spans="1:14" s="2" customFormat="1" ht="12.75">
      <c r="A50" s="167">
        <f t="shared" si="11"/>
        <v>14</v>
      </c>
      <c r="B50" s="167">
        <f t="shared" si="11"/>
        <v>13.5</v>
      </c>
      <c r="C50" s="167">
        <v>1</v>
      </c>
      <c r="D50" s="27">
        <f t="shared" si="1"/>
        <v>135</v>
      </c>
      <c r="E50" s="168">
        <f t="shared" si="9"/>
        <v>1.0546875</v>
      </c>
      <c r="F50" s="117">
        <f t="shared" si="2"/>
        <v>1.0546875</v>
      </c>
      <c r="G50" s="27">
        <f t="shared" si="3"/>
        <v>40</v>
      </c>
      <c r="H50" s="27">
        <f t="shared" si="12"/>
        <v>0</v>
      </c>
      <c r="I50" s="116">
        <f t="shared" si="4"/>
        <v>0</v>
      </c>
      <c r="J50" s="116">
        <f t="shared" si="10"/>
        <v>0</v>
      </c>
      <c r="K50" s="116">
        <f t="shared" si="5"/>
        <v>0</v>
      </c>
      <c r="L50" s="116">
        <f t="shared" si="6"/>
        <v>0</v>
      </c>
      <c r="M50" s="116">
        <f t="shared" si="7"/>
        <v>4.598929533862095</v>
      </c>
      <c r="N50" s="116">
        <f t="shared" si="8"/>
        <v>14.551300478235536</v>
      </c>
    </row>
    <row r="51" spans="1:14" ht="12.75">
      <c r="A51" s="167">
        <f t="shared" si="11"/>
        <v>15</v>
      </c>
      <c r="B51" s="167">
        <f t="shared" si="11"/>
        <v>14.5</v>
      </c>
      <c r="C51" s="167">
        <v>1</v>
      </c>
      <c r="D51" s="27">
        <f t="shared" si="1"/>
        <v>135</v>
      </c>
      <c r="E51" s="168">
        <f t="shared" si="9"/>
        <v>1.1328125</v>
      </c>
      <c r="F51" s="117">
        <f t="shared" si="2"/>
        <v>1.1328125</v>
      </c>
      <c r="G51" s="27">
        <f t="shared" si="3"/>
        <v>40</v>
      </c>
      <c r="H51" s="27">
        <f t="shared" si="12"/>
        <v>0</v>
      </c>
      <c r="I51" s="116">
        <f t="shared" si="4"/>
        <v>0</v>
      </c>
      <c r="J51" s="116">
        <f t="shared" si="10"/>
        <v>0</v>
      </c>
      <c r="K51" s="116">
        <f t="shared" si="5"/>
        <v>0</v>
      </c>
      <c r="L51" s="116">
        <f t="shared" si="6"/>
        <v>0</v>
      </c>
      <c r="M51" s="116">
        <f t="shared" si="7"/>
        <v>4.598929533862095</v>
      </c>
      <c r="N51" s="116">
        <f t="shared" si="8"/>
        <v>15.629174587734463</v>
      </c>
    </row>
    <row r="52" spans="1:14" ht="12.75">
      <c r="A52" s="167">
        <f t="shared" si="11"/>
        <v>16</v>
      </c>
      <c r="B52" s="167">
        <f t="shared" si="11"/>
        <v>15.5</v>
      </c>
      <c r="C52" s="167">
        <v>1</v>
      </c>
      <c r="D52" s="27">
        <f t="shared" si="1"/>
        <v>135</v>
      </c>
      <c r="E52" s="168">
        <f t="shared" si="9"/>
        <v>1.2109375</v>
      </c>
      <c r="F52" s="117">
        <f t="shared" si="2"/>
        <v>1.2109375</v>
      </c>
      <c r="G52" s="27">
        <f t="shared" si="3"/>
        <v>40</v>
      </c>
      <c r="H52" s="27">
        <f t="shared" si="12"/>
        <v>0</v>
      </c>
      <c r="I52" s="116">
        <f t="shared" si="4"/>
        <v>0</v>
      </c>
      <c r="J52" s="116">
        <f t="shared" si="10"/>
        <v>0</v>
      </c>
      <c r="K52" s="116">
        <f t="shared" si="5"/>
        <v>0</v>
      </c>
      <c r="L52" s="116">
        <f t="shared" si="6"/>
        <v>0</v>
      </c>
      <c r="M52" s="116">
        <f t="shared" si="7"/>
        <v>4.598929533862095</v>
      </c>
      <c r="N52" s="116">
        <f t="shared" si="8"/>
        <v>16.707048697233393</v>
      </c>
    </row>
    <row r="53" spans="1:14" ht="12.75">
      <c r="A53" s="167">
        <f t="shared" si="11"/>
        <v>17</v>
      </c>
      <c r="B53" s="167">
        <f t="shared" si="11"/>
        <v>16.5</v>
      </c>
      <c r="C53" s="167">
        <v>1</v>
      </c>
      <c r="D53" s="27">
        <f t="shared" si="1"/>
        <v>135</v>
      </c>
      <c r="E53" s="168">
        <f t="shared" si="9"/>
        <v>1.2890625</v>
      </c>
      <c r="F53" s="117">
        <f t="shared" si="2"/>
        <v>1.2890625</v>
      </c>
      <c r="G53" s="27">
        <f t="shared" si="3"/>
        <v>40</v>
      </c>
      <c r="H53" s="27">
        <f t="shared" si="12"/>
        <v>0</v>
      </c>
      <c r="I53" s="116">
        <f t="shared" si="4"/>
        <v>0</v>
      </c>
      <c r="J53" s="116">
        <f t="shared" si="10"/>
        <v>0</v>
      </c>
      <c r="K53" s="116">
        <f t="shared" si="5"/>
        <v>0</v>
      </c>
      <c r="L53" s="116">
        <f t="shared" si="6"/>
        <v>0</v>
      </c>
      <c r="M53" s="116">
        <f t="shared" si="7"/>
        <v>4.598929533862095</v>
      </c>
      <c r="N53" s="116">
        <f t="shared" si="8"/>
        <v>17.78492280673232</v>
      </c>
    </row>
    <row r="54" spans="1:14" ht="12.75">
      <c r="A54" s="167">
        <f t="shared" si="11"/>
        <v>18</v>
      </c>
      <c r="B54" s="167">
        <f t="shared" si="11"/>
        <v>17.5</v>
      </c>
      <c r="C54" s="167">
        <v>1</v>
      </c>
      <c r="D54" s="27">
        <f t="shared" si="1"/>
        <v>135</v>
      </c>
      <c r="E54" s="168">
        <f t="shared" si="9"/>
        <v>1.3671875</v>
      </c>
      <c r="F54" s="117">
        <f t="shared" si="2"/>
        <v>1.3671875</v>
      </c>
      <c r="G54" s="27">
        <f t="shared" si="3"/>
        <v>40</v>
      </c>
      <c r="H54" s="27">
        <f t="shared" si="12"/>
        <v>0</v>
      </c>
      <c r="I54" s="116">
        <f t="shared" si="4"/>
        <v>0</v>
      </c>
      <c r="J54" s="116">
        <f t="shared" si="10"/>
        <v>0</v>
      </c>
      <c r="K54" s="116">
        <f t="shared" si="5"/>
        <v>0</v>
      </c>
      <c r="L54" s="116">
        <f t="shared" si="6"/>
        <v>0</v>
      </c>
      <c r="M54" s="116">
        <f t="shared" si="7"/>
        <v>4.598929533862095</v>
      </c>
      <c r="N54" s="116">
        <f t="shared" si="8"/>
        <v>18.862796916231247</v>
      </c>
    </row>
    <row r="55" spans="1:14" ht="12.75">
      <c r="A55" s="167">
        <f t="shared" si="11"/>
        <v>19</v>
      </c>
      <c r="B55" s="167">
        <f t="shared" si="11"/>
        <v>18.5</v>
      </c>
      <c r="C55" s="167">
        <v>1</v>
      </c>
      <c r="D55" s="27">
        <f t="shared" si="1"/>
        <v>135</v>
      </c>
      <c r="E55" s="168">
        <f t="shared" si="9"/>
        <v>1.4453125</v>
      </c>
      <c r="F55" s="117">
        <f t="shared" si="2"/>
        <v>1.4453125</v>
      </c>
      <c r="G55" s="27">
        <f t="shared" si="3"/>
        <v>40</v>
      </c>
      <c r="H55" s="27">
        <f t="shared" si="12"/>
        <v>0</v>
      </c>
      <c r="I55" s="116">
        <f t="shared" si="4"/>
        <v>0</v>
      </c>
      <c r="J55" s="116">
        <f t="shared" si="10"/>
        <v>0</v>
      </c>
      <c r="K55" s="116">
        <f t="shared" si="5"/>
        <v>0</v>
      </c>
      <c r="L55" s="116">
        <f t="shared" si="6"/>
        <v>0</v>
      </c>
      <c r="M55" s="116">
        <f t="shared" si="7"/>
        <v>4.598929533862095</v>
      </c>
      <c r="N55" s="116">
        <f t="shared" si="8"/>
        <v>19.94067102573018</v>
      </c>
    </row>
    <row r="56" spans="1:14" ht="12.75">
      <c r="A56" s="167">
        <f t="shared" si="11"/>
        <v>20</v>
      </c>
      <c r="B56" s="167">
        <f t="shared" si="11"/>
        <v>19.5</v>
      </c>
      <c r="C56" s="167">
        <v>1</v>
      </c>
      <c r="D56" s="27">
        <f t="shared" si="1"/>
        <v>135</v>
      </c>
      <c r="E56" s="168">
        <f t="shared" si="9"/>
        <v>1.5234375</v>
      </c>
      <c r="F56" s="117">
        <f t="shared" si="2"/>
        <v>1.5234375</v>
      </c>
      <c r="G56" s="27">
        <f t="shared" si="3"/>
        <v>40</v>
      </c>
      <c r="H56" s="27">
        <f t="shared" si="12"/>
        <v>0</v>
      </c>
      <c r="I56" s="116">
        <f t="shared" si="4"/>
        <v>0</v>
      </c>
      <c r="J56" s="116">
        <f t="shared" si="10"/>
        <v>0</v>
      </c>
      <c r="K56" s="116">
        <f t="shared" si="5"/>
        <v>0</v>
      </c>
      <c r="L56" s="116">
        <f t="shared" si="6"/>
        <v>0</v>
      </c>
      <c r="M56" s="116">
        <f t="shared" si="7"/>
        <v>4.598929533862095</v>
      </c>
      <c r="N56" s="116">
        <f t="shared" si="8"/>
        <v>21.018545135229104</v>
      </c>
    </row>
    <row r="57" spans="1:14" ht="12.75">
      <c r="A57" s="167">
        <f t="shared" si="11"/>
        <v>21</v>
      </c>
      <c r="B57" s="167">
        <f t="shared" si="11"/>
        <v>20.5</v>
      </c>
      <c r="C57" s="167">
        <v>1</v>
      </c>
      <c r="D57" s="27">
        <f t="shared" si="1"/>
        <v>135</v>
      </c>
      <c r="E57" s="168">
        <f t="shared" si="9"/>
        <v>1.6015625</v>
      </c>
      <c r="F57" s="117">
        <f t="shared" si="2"/>
        <v>1.6015625</v>
      </c>
      <c r="G57" s="27">
        <f t="shared" si="3"/>
        <v>40</v>
      </c>
      <c r="H57" s="27">
        <f t="shared" si="12"/>
        <v>0</v>
      </c>
      <c r="I57" s="116">
        <f t="shared" si="4"/>
        <v>0</v>
      </c>
      <c r="J57" s="116">
        <f t="shared" si="10"/>
        <v>0</v>
      </c>
      <c r="K57" s="116">
        <f t="shared" si="5"/>
        <v>0</v>
      </c>
      <c r="L57" s="116">
        <f t="shared" si="6"/>
        <v>0</v>
      </c>
      <c r="M57" s="116">
        <f t="shared" si="7"/>
        <v>4.598929533862095</v>
      </c>
      <c r="N57" s="116">
        <f t="shared" si="8"/>
        <v>22.096419244728033</v>
      </c>
    </row>
    <row r="58" spans="1:14" ht="12.75">
      <c r="A58" s="167">
        <f t="shared" si="11"/>
        <v>22</v>
      </c>
      <c r="B58" s="167">
        <f t="shared" si="11"/>
        <v>21.5</v>
      </c>
      <c r="C58" s="167">
        <v>1</v>
      </c>
      <c r="D58" s="27">
        <f t="shared" si="1"/>
        <v>135</v>
      </c>
      <c r="E58" s="168">
        <f t="shared" si="9"/>
        <v>1.6796875</v>
      </c>
      <c r="F58" s="117">
        <f t="shared" si="2"/>
        <v>1.6796875</v>
      </c>
      <c r="G58" s="27">
        <f t="shared" si="3"/>
        <v>40</v>
      </c>
      <c r="H58" s="27">
        <f t="shared" si="12"/>
        <v>0</v>
      </c>
      <c r="I58" s="116">
        <f t="shared" si="4"/>
        <v>0</v>
      </c>
      <c r="J58" s="116">
        <f t="shared" si="10"/>
        <v>0</v>
      </c>
      <c r="K58" s="116">
        <f t="shared" si="5"/>
        <v>0</v>
      </c>
      <c r="L58" s="116">
        <f t="shared" si="6"/>
        <v>0</v>
      </c>
      <c r="M58" s="116">
        <f t="shared" si="7"/>
        <v>4.598929533862095</v>
      </c>
      <c r="N58" s="116">
        <f t="shared" si="8"/>
        <v>23.174293354226965</v>
      </c>
    </row>
    <row r="59" spans="1:14" ht="12.75">
      <c r="A59" s="167">
        <f t="shared" si="11"/>
        <v>23</v>
      </c>
      <c r="B59" s="167">
        <f t="shared" si="11"/>
        <v>22.5</v>
      </c>
      <c r="C59" s="167">
        <v>1</v>
      </c>
      <c r="D59" s="27">
        <f t="shared" si="1"/>
        <v>135</v>
      </c>
      <c r="E59" s="168">
        <f t="shared" si="9"/>
        <v>1.7578125</v>
      </c>
      <c r="F59" s="117">
        <f t="shared" si="2"/>
        <v>1.7578125</v>
      </c>
      <c r="G59" s="27">
        <f t="shared" si="3"/>
        <v>40</v>
      </c>
      <c r="H59" s="27">
        <f t="shared" si="12"/>
        <v>0</v>
      </c>
      <c r="I59" s="116">
        <f t="shared" si="4"/>
        <v>0</v>
      </c>
      <c r="J59" s="116">
        <f t="shared" si="10"/>
        <v>0</v>
      </c>
      <c r="K59" s="116">
        <f t="shared" si="5"/>
        <v>0</v>
      </c>
      <c r="L59" s="116">
        <f t="shared" si="6"/>
        <v>0</v>
      </c>
      <c r="M59" s="116">
        <f t="shared" si="7"/>
        <v>4.598929533862095</v>
      </c>
      <c r="N59" s="116">
        <f t="shared" si="8"/>
        <v>24.252167463725893</v>
      </c>
    </row>
    <row r="60" spans="1:14" ht="12.75">
      <c r="A60" s="167">
        <f t="shared" si="11"/>
        <v>24</v>
      </c>
      <c r="B60" s="167">
        <f t="shared" si="11"/>
        <v>23.5</v>
      </c>
      <c r="C60" s="167">
        <v>1</v>
      </c>
      <c r="D60" s="27">
        <f t="shared" si="1"/>
        <v>135</v>
      </c>
      <c r="E60" s="168">
        <f t="shared" si="9"/>
        <v>1.8359375</v>
      </c>
      <c r="F60" s="117">
        <f t="shared" si="2"/>
        <v>1.8359375</v>
      </c>
      <c r="G60" s="27">
        <f t="shared" si="3"/>
        <v>40</v>
      </c>
      <c r="H60" s="27">
        <f t="shared" si="12"/>
        <v>0</v>
      </c>
      <c r="I60" s="116">
        <f t="shared" si="4"/>
        <v>0</v>
      </c>
      <c r="J60" s="116">
        <f t="shared" si="10"/>
        <v>0</v>
      </c>
      <c r="K60" s="116">
        <f t="shared" si="5"/>
        <v>0</v>
      </c>
      <c r="L60" s="116">
        <f t="shared" si="6"/>
        <v>0</v>
      </c>
      <c r="M60" s="116">
        <f t="shared" si="7"/>
        <v>4.598929533862095</v>
      </c>
      <c r="N60" s="116">
        <f t="shared" si="8"/>
        <v>25.33004157322482</v>
      </c>
    </row>
    <row r="61" spans="1:14" ht="12.75">
      <c r="A61" s="167">
        <f t="shared" si="11"/>
        <v>25</v>
      </c>
      <c r="B61" s="167">
        <f t="shared" si="11"/>
        <v>24.5</v>
      </c>
      <c r="C61" s="167">
        <v>1</v>
      </c>
      <c r="D61" s="27">
        <f t="shared" si="1"/>
        <v>120</v>
      </c>
      <c r="E61" s="168">
        <f t="shared" si="9"/>
        <v>1.9097222222222223</v>
      </c>
      <c r="F61" s="117">
        <f t="shared" si="2"/>
        <v>1.9097222222222223</v>
      </c>
      <c r="G61" s="27">
        <f t="shared" si="3"/>
        <v>35</v>
      </c>
      <c r="H61" s="27">
        <f t="shared" si="12"/>
        <v>0</v>
      </c>
      <c r="I61" s="116">
        <f t="shared" si="4"/>
        <v>0</v>
      </c>
      <c r="J61" s="116">
        <f t="shared" si="10"/>
        <v>0</v>
      </c>
      <c r="K61" s="116">
        <f t="shared" si="5"/>
        <v>0</v>
      </c>
      <c r="L61" s="116">
        <f t="shared" si="6"/>
        <v>0</v>
      </c>
      <c r="M61" s="116">
        <f t="shared" si="7"/>
        <v>3.6901852022987227</v>
      </c>
      <c r="N61" s="116">
        <f t="shared" si="8"/>
        <v>21.141686054836434</v>
      </c>
    </row>
    <row r="62" spans="1:14" ht="12.75">
      <c r="A62" s="167">
        <f t="shared" si="11"/>
        <v>26</v>
      </c>
      <c r="B62" s="167">
        <f t="shared" si="11"/>
        <v>25.5</v>
      </c>
      <c r="C62" s="167">
        <v>1</v>
      </c>
      <c r="D62" s="27">
        <f t="shared" si="1"/>
        <v>120</v>
      </c>
      <c r="E62" s="168">
        <f t="shared" si="9"/>
        <v>1.9791666666666667</v>
      </c>
      <c r="F62" s="117">
        <f t="shared" si="2"/>
        <v>1.9791666666666667</v>
      </c>
      <c r="G62" s="27">
        <f t="shared" si="3"/>
        <v>35</v>
      </c>
      <c r="H62" s="27">
        <f t="shared" si="12"/>
        <v>0</v>
      </c>
      <c r="I62" s="116">
        <f t="shared" si="4"/>
        <v>0</v>
      </c>
      <c r="J62" s="116">
        <f t="shared" si="10"/>
        <v>0</v>
      </c>
      <c r="K62" s="116">
        <f t="shared" si="5"/>
        <v>0</v>
      </c>
      <c r="L62" s="116">
        <f t="shared" si="6"/>
        <v>0</v>
      </c>
      <c r="M62" s="116">
        <f t="shared" si="7"/>
        <v>3.6901852022987227</v>
      </c>
      <c r="N62" s="116">
        <f t="shared" si="8"/>
        <v>21.91047463864867</v>
      </c>
    </row>
    <row r="63" spans="1:14" ht="12.75">
      <c r="A63" s="167">
        <f t="shared" si="11"/>
        <v>27</v>
      </c>
      <c r="B63" s="167">
        <f t="shared" si="11"/>
        <v>26.5</v>
      </c>
      <c r="C63" s="167">
        <v>1</v>
      </c>
      <c r="D63" s="27">
        <f t="shared" si="1"/>
        <v>120</v>
      </c>
      <c r="E63" s="168">
        <f t="shared" si="9"/>
        <v>2.048611111111111</v>
      </c>
      <c r="F63" s="117">
        <f t="shared" si="2"/>
        <v>2.048611111111111</v>
      </c>
      <c r="G63" s="27">
        <f t="shared" si="3"/>
        <v>35</v>
      </c>
      <c r="H63" s="27">
        <f t="shared" si="12"/>
        <v>0</v>
      </c>
      <c r="I63" s="116">
        <f t="shared" si="4"/>
        <v>0</v>
      </c>
      <c r="J63" s="116">
        <f t="shared" si="10"/>
        <v>0</v>
      </c>
      <c r="K63" s="116">
        <f t="shared" si="5"/>
        <v>0</v>
      </c>
      <c r="L63" s="116">
        <f t="shared" si="6"/>
        <v>0</v>
      </c>
      <c r="M63" s="116">
        <f t="shared" si="7"/>
        <v>3.6901852022987227</v>
      </c>
      <c r="N63" s="116">
        <f t="shared" si="8"/>
        <v>22.6792632224609</v>
      </c>
    </row>
    <row r="64" spans="1:14" ht="12.75">
      <c r="A64" s="167">
        <f t="shared" si="11"/>
        <v>28</v>
      </c>
      <c r="B64" s="167">
        <f t="shared" si="11"/>
        <v>27.5</v>
      </c>
      <c r="C64" s="167">
        <v>1</v>
      </c>
      <c r="D64" s="27">
        <f t="shared" si="1"/>
        <v>120</v>
      </c>
      <c r="E64" s="168">
        <f t="shared" si="9"/>
        <v>2.118055555555556</v>
      </c>
      <c r="F64" s="117">
        <f t="shared" si="2"/>
        <v>2.118055555555556</v>
      </c>
      <c r="G64" s="27">
        <f t="shared" si="3"/>
        <v>35</v>
      </c>
      <c r="H64" s="27">
        <f t="shared" si="12"/>
        <v>0</v>
      </c>
      <c r="I64" s="116">
        <f t="shared" si="4"/>
        <v>0</v>
      </c>
      <c r="J64" s="116">
        <f t="shared" si="10"/>
        <v>0</v>
      </c>
      <c r="K64" s="116">
        <f t="shared" si="5"/>
        <v>0</v>
      </c>
      <c r="L64" s="116">
        <f t="shared" si="6"/>
        <v>0</v>
      </c>
      <c r="M64" s="116">
        <f t="shared" si="7"/>
        <v>3.6901852022987227</v>
      </c>
      <c r="N64" s="116">
        <f t="shared" si="8"/>
        <v>23.44805180627314</v>
      </c>
    </row>
    <row r="65" spans="1:14" ht="12.75">
      <c r="A65" s="167">
        <f t="shared" si="11"/>
        <v>29</v>
      </c>
      <c r="B65" s="167">
        <f t="shared" si="11"/>
        <v>28.5</v>
      </c>
      <c r="C65" s="167">
        <v>1</v>
      </c>
      <c r="D65" s="27">
        <f t="shared" si="1"/>
        <v>120</v>
      </c>
      <c r="E65" s="168">
        <f t="shared" si="9"/>
        <v>2.1875000000000004</v>
      </c>
      <c r="F65" s="117">
        <f t="shared" si="2"/>
        <v>2.1875000000000004</v>
      </c>
      <c r="G65" s="27">
        <f t="shared" si="3"/>
        <v>35</v>
      </c>
      <c r="H65" s="27">
        <f t="shared" si="12"/>
        <v>0</v>
      </c>
      <c r="I65" s="116">
        <f t="shared" si="4"/>
        <v>0</v>
      </c>
      <c r="J65" s="116">
        <f t="shared" si="10"/>
        <v>0</v>
      </c>
      <c r="K65" s="116">
        <f t="shared" si="5"/>
        <v>0</v>
      </c>
      <c r="L65" s="116">
        <f t="shared" si="6"/>
        <v>0</v>
      </c>
      <c r="M65" s="116">
        <f t="shared" si="7"/>
        <v>3.6901852022987227</v>
      </c>
      <c r="N65" s="116">
        <f t="shared" si="8"/>
        <v>24.216840390085373</v>
      </c>
    </row>
    <row r="66" spans="1:14" ht="12.75">
      <c r="A66" s="167">
        <f t="shared" si="11"/>
        <v>30</v>
      </c>
      <c r="B66" s="167">
        <f t="shared" si="11"/>
        <v>29.5</v>
      </c>
      <c r="C66" s="167">
        <v>1</v>
      </c>
      <c r="D66" s="27">
        <f t="shared" si="1"/>
        <v>120</v>
      </c>
      <c r="E66" s="168">
        <f t="shared" si="9"/>
        <v>2.256944444444445</v>
      </c>
      <c r="F66" s="117">
        <f t="shared" si="2"/>
        <v>2.256944444444445</v>
      </c>
      <c r="G66" s="27">
        <f t="shared" si="3"/>
        <v>35</v>
      </c>
      <c r="H66" s="27">
        <f t="shared" si="12"/>
        <v>0</v>
      </c>
      <c r="I66" s="116">
        <f t="shared" si="4"/>
        <v>0</v>
      </c>
      <c r="J66" s="116">
        <f t="shared" si="10"/>
        <v>0</v>
      </c>
      <c r="K66" s="116">
        <f t="shared" si="5"/>
        <v>0</v>
      </c>
      <c r="L66" s="116">
        <f t="shared" si="6"/>
        <v>0</v>
      </c>
      <c r="M66" s="116">
        <f t="shared" si="7"/>
        <v>3.6901852022987227</v>
      </c>
      <c r="N66" s="116">
        <f t="shared" si="8"/>
        <v>24.98562897389761</v>
      </c>
    </row>
    <row r="67" spans="1:14" ht="12.75">
      <c r="A67" s="167">
        <f t="shared" si="11"/>
        <v>31</v>
      </c>
      <c r="B67" s="167">
        <f t="shared" si="11"/>
        <v>30.5</v>
      </c>
      <c r="C67" s="167">
        <v>1</v>
      </c>
      <c r="D67" s="27">
        <f t="shared" si="1"/>
        <v>120</v>
      </c>
      <c r="E67" s="168">
        <f t="shared" si="9"/>
        <v>2.3263888888888897</v>
      </c>
      <c r="F67" s="117">
        <f t="shared" si="2"/>
        <v>2.3263888888888897</v>
      </c>
      <c r="G67" s="27">
        <f t="shared" si="3"/>
        <v>35</v>
      </c>
      <c r="H67" s="27">
        <f t="shared" si="12"/>
        <v>0</v>
      </c>
      <c r="I67" s="116">
        <f t="shared" si="4"/>
        <v>0</v>
      </c>
      <c r="J67" s="116">
        <f t="shared" si="10"/>
        <v>0</v>
      </c>
      <c r="K67" s="116">
        <f t="shared" si="5"/>
        <v>0</v>
      </c>
      <c r="L67" s="116">
        <f t="shared" si="6"/>
        <v>0</v>
      </c>
      <c r="M67" s="116">
        <f t="shared" si="7"/>
        <v>3.6901852022987227</v>
      </c>
      <c r="N67" s="116">
        <f t="shared" si="8"/>
        <v>25.754417557709843</v>
      </c>
    </row>
    <row r="68" spans="1:14" ht="12.75">
      <c r="A68" s="167">
        <f t="shared" si="11"/>
        <v>32</v>
      </c>
      <c r="B68" s="167">
        <f t="shared" si="11"/>
        <v>31.5</v>
      </c>
      <c r="C68" s="167">
        <v>1</v>
      </c>
      <c r="D68" s="27">
        <f t="shared" si="1"/>
        <v>120</v>
      </c>
      <c r="E68" s="168">
        <f t="shared" si="9"/>
        <v>2.3958333333333344</v>
      </c>
      <c r="F68" s="117">
        <f t="shared" si="2"/>
        <v>2.3958333333333344</v>
      </c>
      <c r="G68" s="27">
        <f t="shared" si="3"/>
        <v>35</v>
      </c>
      <c r="H68" s="27">
        <f t="shared" si="12"/>
        <v>0</v>
      </c>
      <c r="I68" s="116">
        <f t="shared" si="4"/>
        <v>0</v>
      </c>
      <c r="J68" s="116">
        <f t="shared" si="10"/>
        <v>0</v>
      </c>
      <c r="K68" s="116">
        <f t="shared" si="5"/>
        <v>0</v>
      </c>
      <c r="L68" s="116">
        <f t="shared" si="6"/>
        <v>0</v>
      </c>
      <c r="M68" s="116">
        <f t="shared" si="7"/>
        <v>3.6901852022987227</v>
      </c>
      <c r="N68" s="116">
        <f t="shared" si="8"/>
        <v>26.52320614152208</v>
      </c>
    </row>
    <row r="69" spans="1:14" ht="12.75">
      <c r="A69" s="167">
        <f t="shared" si="11"/>
        <v>33</v>
      </c>
      <c r="B69" s="167">
        <f t="shared" si="11"/>
        <v>32.5</v>
      </c>
      <c r="C69" s="167">
        <v>1</v>
      </c>
      <c r="D69" s="27">
        <f aca="true" t="shared" si="13" ref="D69:D100">IF(AND($B69&gt;$B$11,$B69&lt;$C$11),$D$11,IF(AND($B69&gt;$B$12,$B69&lt;$C$12),$D$12,IF(AND($B69&gt;$B$13,$B69&lt;$C$13),$D$13,IF(AND($B69&gt;$B$14,$B69&lt;$C$14),$D$14,IF(AND($B69&gt;$B$15,$B69&lt;$C$15),$D$15,IF(AND($B69&gt;$B$16,$B69&lt;$C$16),$D$16,IF(AND($B69&gt;$B$17,$B69&lt;$C$17),$D$17)))))))</f>
        <v>120</v>
      </c>
      <c r="E69" s="168">
        <f t="shared" si="9"/>
        <v>2.465277777777779</v>
      </c>
      <c r="F69" s="117">
        <f aca="true" t="shared" si="14" ref="F69:F100">IF(B69&lt;$E$25,E69,E69-0.0361*(B69-$E$25))</f>
        <v>2.465277777777779</v>
      </c>
      <c r="G69" s="27">
        <f aca="true" t="shared" si="15" ref="G69:G100">IF(AND($B69&gt;$B$11,$B69&lt;$C$11),$E$11,IF(AND($B69&gt;$B$12,$B69&lt;$C$12),$E$12,IF(AND($B69&gt;$B$13,$B69&lt;$C$13),$E$13,IF(AND($B69&gt;$B$14,$B69&lt;$C$14),$E$14,IF(AND($B69&gt;$B$15,$B69&lt;$C$15),$E$15,IF(AND($B69&gt;$B$16,$B69&lt;$C$16),$E$16,IF(AND($B69&gt;$B$17,$B69&lt;$C$17),$E$17)))))))</f>
        <v>35</v>
      </c>
      <c r="H69" s="27">
        <f t="shared" si="12"/>
        <v>0</v>
      </c>
      <c r="I69" s="116">
        <f aca="true" t="shared" si="16" ref="I69:I100">IF(AND($B69&gt;$B$11,$B69&lt;$C$11),$G$11,IF(AND($B69&gt;$B$12,$B69&lt;$C$12),$G$12,IF(AND($B69&gt;$B$13,$B69&lt;$C$13),$G$13,IF(AND($B69&gt;$B$14,$B69&lt;$C$14),$G$14,IF(AND($B69&gt;$B$15,$B69&lt;$C$15),$G$15,IF(AND($B69&gt;$B$16,$B69&lt;$C$16),$G$16,IF(AND($B69&gt;$B$17,$B69&lt;$C$17),$G$17)))))))</f>
        <v>0</v>
      </c>
      <c r="J69" s="116">
        <f t="shared" si="10"/>
        <v>0</v>
      </c>
      <c r="K69" s="116">
        <f aca="true" t="shared" si="17" ref="K69:K100">IF($B69&gt;4*$E$26,H69,H69*(1/3+$B69/(2*$E$26)/3))</f>
        <v>0</v>
      </c>
      <c r="L69" s="116">
        <f aca="true" t="shared" si="18" ref="L69:L100">IF($B69&gt;4*$E$26,I69,I69*(1/3+$B69/(2*$E$26)/3))</f>
        <v>0</v>
      </c>
      <c r="M69" s="116">
        <f aca="true" t="shared" si="19" ref="M69:M100">IF(G69&lt;0.5,0,(1+SIN(G69*3.1416/180))/(1-SIN(G69*3.1416/180)))</f>
        <v>3.6901852022987227</v>
      </c>
      <c r="N69" s="116">
        <f aca="true" t="shared" si="20" ref="N69:N100">IF($E$27=1,3*($F69*$M69+2*$K69*$M69^0.5),IF($E$27=2,9*$L69,IF($E$27=3,$J69,0)))</f>
        <v>27.29199472533432</v>
      </c>
    </row>
    <row r="70" spans="1:14" ht="12.75">
      <c r="A70" s="167">
        <f t="shared" si="11"/>
        <v>34</v>
      </c>
      <c r="B70" s="167">
        <f t="shared" si="11"/>
        <v>33.5</v>
      </c>
      <c r="C70" s="167">
        <v>1</v>
      </c>
      <c r="D70" s="27">
        <f t="shared" si="13"/>
        <v>120</v>
      </c>
      <c r="E70" s="168">
        <f aca="true" t="shared" si="21" ref="E70:E101">+E69+(D69+D70)/2/1728</f>
        <v>2.5347222222222237</v>
      </c>
      <c r="F70" s="117">
        <f t="shared" si="14"/>
        <v>2.5347222222222237</v>
      </c>
      <c r="G70" s="27">
        <f t="shared" si="15"/>
        <v>35</v>
      </c>
      <c r="H70" s="27">
        <f t="shared" si="12"/>
        <v>0</v>
      </c>
      <c r="I70" s="116">
        <f t="shared" si="16"/>
        <v>0</v>
      </c>
      <c r="J70" s="116">
        <f t="shared" si="10"/>
        <v>0</v>
      </c>
      <c r="K70" s="116">
        <f t="shared" si="17"/>
        <v>0</v>
      </c>
      <c r="L70" s="116">
        <f t="shared" si="18"/>
        <v>0</v>
      </c>
      <c r="M70" s="116">
        <f t="shared" si="19"/>
        <v>3.6901852022987227</v>
      </c>
      <c r="N70" s="116">
        <f t="shared" si="20"/>
        <v>28.060783309146554</v>
      </c>
    </row>
    <row r="71" spans="1:14" ht="12.75">
      <c r="A71" s="167">
        <f t="shared" si="11"/>
        <v>35</v>
      </c>
      <c r="B71" s="167">
        <f t="shared" si="11"/>
        <v>34.5</v>
      </c>
      <c r="C71" s="167">
        <v>1</v>
      </c>
      <c r="D71" s="27">
        <f t="shared" si="13"/>
        <v>120</v>
      </c>
      <c r="E71" s="168">
        <f t="shared" si="21"/>
        <v>2.6041666666666683</v>
      </c>
      <c r="F71" s="117">
        <f t="shared" si="14"/>
        <v>2.6041666666666683</v>
      </c>
      <c r="G71" s="27">
        <f t="shared" si="15"/>
        <v>35</v>
      </c>
      <c r="H71" s="27">
        <f t="shared" si="12"/>
        <v>0</v>
      </c>
      <c r="I71" s="116">
        <f t="shared" si="16"/>
        <v>0</v>
      </c>
      <c r="J71" s="116">
        <f t="shared" si="10"/>
        <v>0</v>
      </c>
      <c r="K71" s="116">
        <f t="shared" si="17"/>
        <v>0</v>
      </c>
      <c r="L71" s="116">
        <f t="shared" si="18"/>
        <v>0</v>
      </c>
      <c r="M71" s="116">
        <f t="shared" si="19"/>
        <v>3.6901852022987227</v>
      </c>
      <c r="N71" s="116">
        <f t="shared" si="20"/>
        <v>28.82957189295879</v>
      </c>
    </row>
    <row r="72" spans="1:14" ht="12.75">
      <c r="A72" s="167">
        <f t="shared" si="11"/>
        <v>36</v>
      </c>
      <c r="B72" s="167">
        <f t="shared" si="11"/>
        <v>35.5</v>
      </c>
      <c r="C72" s="167">
        <v>1</v>
      </c>
      <c r="D72" s="27">
        <f t="shared" si="13"/>
        <v>120</v>
      </c>
      <c r="E72" s="168">
        <f t="shared" si="21"/>
        <v>2.673611111111113</v>
      </c>
      <c r="F72" s="117">
        <f t="shared" si="14"/>
        <v>2.673611111111113</v>
      </c>
      <c r="G72" s="27">
        <f t="shared" si="15"/>
        <v>35</v>
      </c>
      <c r="H72" s="27">
        <f t="shared" si="12"/>
        <v>0</v>
      </c>
      <c r="I72" s="116">
        <f t="shared" si="16"/>
        <v>0</v>
      </c>
      <c r="J72" s="116">
        <f t="shared" si="10"/>
        <v>0</v>
      </c>
      <c r="K72" s="116">
        <f t="shared" si="17"/>
        <v>0</v>
      </c>
      <c r="L72" s="116">
        <f t="shared" si="18"/>
        <v>0</v>
      </c>
      <c r="M72" s="116">
        <f t="shared" si="19"/>
        <v>3.6901852022987227</v>
      </c>
      <c r="N72" s="116">
        <f t="shared" si="20"/>
        <v>29.598360476771024</v>
      </c>
    </row>
    <row r="73" spans="1:14" ht="12.75">
      <c r="A73" s="167">
        <f t="shared" si="11"/>
        <v>37</v>
      </c>
      <c r="B73" s="167">
        <f t="shared" si="11"/>
        <v>36.5</v>
      </c>
      <c r="C73" s="167">
        <v>1</v>
      </c>
      <c r="D73" s="27">
        <f t="shared" si="13"/>
        <v>120</v>
      </c>
      <c r="E73" s="168">
        <f t="shared" si="21"/>
        <v>2.7430555555555576</v>
      </c>
      <c r="F73" s="117">
        <f t="shared" si="14"/>
        <v>2.7430555555555576</v>
      </c>
      <c r="G73" s="27">
        <f t="shared" si="15"/>
        <v>35</v>
      </c>
      <c r="H73" s="27">
        <f t="shared" si="12"/>
        <v>0</v>
      </c>
      <c r="I73" s="116">
        <f t="shared" si="16"/>
        <v>0</v>
      </c>
      <c r="J73" s="116">
        <f t="shared" si="10"/>
        <v>0</v>
      </c>
      <c r="K73" s="116">
        <f t="shared" si="17"/>
        <v>0</v>
      </c>
      <c r="L73" s="116">
        <f t="shared" si="18"/>
        <v>0</v>
      </c>
      <c r="M73" s="116">
        <f t="shared" si="19"/>
        <v>3.6901852022987227</v>
      </c>
      <c r="N73" s="116">
        <f t="shared" si="20"/>
        <v>30.36714906058326</v>
      </c>
    </row>
    <row r="74" spans="1:14" ht="12.75">
      <c r="A74" s="167">
        <f t="shared" si="11"/>
        <v>38</v>
      </c>
      <c r="B74" s="167">
        <f t="shared" si="11"/>
        <v>37.5</v>
      </c>
      <c r="C74" s="167">
        <v>1</v>
      </c>
      <c r="D74" s="27">
        <f t="shared" si="13"/>
        <v>120</v>
      </c>
      <c r="E74" s="168">
        <f t="shared" si="21"/>
        <v>2.812500000000002</v>
      </c>
      <c r="F74" s="117">
        <f t="shared" si="14"/>
        <v>2.812500000000002</v>
      </c>
      <c r="G74" s="27">
        <f t="shared" si="15"/>
        <v>35</v>
      </c>
      <c r="H74" s="27">
        <f t="shared" si="12"/>
        <v>0</v>
      </c>
      <c r="I74" s="116">
        <f t="shared" si="16"/>
        <v>0</v>
      </c>
      <c r="J74" s="116">
        <f t="shared" si="10"/>
        <v>0</v>
      </c>
      <c r="K74" s="116">
        <f t="shared" si="17"/>
        <v>0</v>
      </c>
      <c r="L74" s="116">
        <f t="shared" si="18"/>
        <v>0</v>
      </c>
      <c r="M74" s="116">
        <f t="shared" si="19"/>
        <v>3.6901852022987227</v>
      </c>
      <c r="N74" s="116">
        <f t="shared" si="20"/>
        <v>31.135937644395497</v>
      </c>
    </row>
    <row r="75" spans="1:14" ht="12.75">
      <c r="A75" s="167">
        <f t="shared" si="11"/>
        <v>39</v>
      </c>
      <c r="B75" s="167">
        <f t="shared" si="11"/>
        <v>38.5</v>
      </c>
      <c r="C75" s="167">
        <v>1</v>
      </c>
      <c r="D75" s="27">
        <f t="shared" si="13"/>
        <v>120</v>
      </c>
      <c r="E75" s="168">
        <f t="shared" si="21"/>
        <v>2.881944444444447</v>
      </c>
      <c r="F75" s="117">
        <f t="shared" si="14"/>
        <v>2.881944444444447</v>
      </c>
      <c r="G75" s="27">
        <f t="shared" si="15"/>
        <v>35</v>
      </c>
      <c r="H75" s="27">
        <f t="shared" si="12"/>
        <v>0</v>
      </c>
      <c r="I75" s="116">
        <f t="shared" si="16"/>
        <v>0</v>
      </c>
      <c r="J75" s="116">
        <f t="shared" si="10"/>
        <v>0</v>
      </c>
      <c r="K75" s="116">
        <f t="shared" si="17"/>
        <v>0</v>
      </c>
      <c r="L75" s="116">
        <f t="shared" si="18"/>
        <v>0</v>
      </c>
      <c r="M75" s="116">
        <f t="shared" si="19"/>
        <v>3.6901852022987227</v>
      </c>
      <c r="N75" s="116">
        <f t="shared" si="20"/>
        <v>31.904726228207736</v>
      </c>
    </row>
    <row r="76" spans="1:14" ht="12.75">
      <c r="A76" s="167">
        <f t="shared" si="11"/>
        <v>40</v>
      </c>
      <c r="B76" s="167">
        <f t="shared" si="11"/>
        <v>39.5</v>
      </c>
      <c r="C76" s="167">
        <v>1</v>
      </c>
      <c r="D76" s="27">
        <f t="shared" si="13"/>
        <v>120</v>
      </c>
      <c r="E76" s="168">
        <f t="shared" si="21"/>
        <v>2.9513888888888915</v>
      </c>
      <c r="F76" s="117">
        <f t="shared" si="14"/>
        <v>2.9513888888888915</v>
      </c>
      <c r="G76" s="27">
        <f t="shared" si="15"/>
        <v>35</v>
      </c>
      <c r="H76" s="27">
        <f t="shared" si="12"/>
        <v>0</v>
      </c>
      <c r="I76" s="116">
        <f t="shared" si="16"/>
        <v>0</v>
      </c>
      <c r="J76" s="116">
        <f t="shared" si="10"/>
        <v>0</v>
      </c>
      <c r="K76" s="116">
        <f t="shared" si="17"/>
        <v>0</v>
      </c>
      <c r="L76" s="116">
        <f t="shared" si="18"/>
        <v>0</v>
      </c>
      <c r="M76" s="116">
        <f t="shared" si="19"/>
        <v>3.6901852022987227</v>
      </c>
      <c r="N76" s="116">
        <f t="shared" si="20"/>
        <v>32.67351481201997</v>
      </c>
    </row>
    <row r="77" spans="1:14" ht="12.75">
      <c r="A77" s="167">
        <f t="shared" si="11"/>
        <v>41</v>
      </c>
      <c r="B77" s="167">
        <f t="shared" si="11"/>
        <v>40.5</v>
      </c>
      <c r="C77" s="167">
        <v>1</v>
      </c>
      <c r="D77" s="27">
        <f t="shared" si="13"/>
        <v>120</v>
      </c>
      <c r="E77" s="168">
        <f t="shared" si="21"/>
        <v>3.020833333333336</v>
      </c>
      <c r="F77" s="117">
        <f t="shared" si="14"/>
        <v>3.002783333333336</v>
      </c>
      <c r="G77" s="27">
        <f t="shared" si="15"/>
        <v>35</v>
      </c>
      <c r="H77" s="27">
        <f t="shared" si="12"/>
        <v>0</v>
      </c>
      <c r="I77" s="116">
        <f t="shared" si="16"/>
        <v>0</v>
      </c>
      <c r="J77" s="116">
        <f t="shared" si="10"/>
        <v>0</v>
      </c>
      <c r="K77" s="116">
        <f t="shared" si="17"/>
        <v>0</v>
      </c>
      <c r="L77" s="116">
        <f t="shared" si="18"/>
        <v>0</v>
      </c>
      <c r="M77" s="116">
        <f t="shared" si="19"/>
        <v>3.6901852022987227</v>
      </c>
      <c r="N77" s="116">
        <f t="shared" si="20"/>
        <v>33.24247986712773</v>
      </c>
    </row>
    <row r="78" spans="1:14" ht="12.75">
      <c r="A78" s="167">
        <f t="shared" si="11"/>
        <v>42</v>
      </c>
      <c r="B78" s="167">
        <f t="shared" si="11"/>
        <v>41.5</v>
      </c>
      <c r="C78" s="167">
        <v>1</v>
      </c>
      <c r="D78" s="27">
        <f t="shared" si="13"/>
        <v>120</v>
      </c>
      <c r="E78" s="168">
        <f t="shared" si="21"/>
        <v>3.090277777777781</v>
      </c>
      <c r="F78" s="117">
        <f t="shared" si="14"/>
        <v>3.036127777777781</v>
      </c>
      <c r="G78" s="27">
        <f t="shared" si="15"/>
        <v>35</v>
      </c>
      <c r="H78" s="27">
        <f t="shared" si="12"/>
        <v>0</v>
      </c>
      <c r="I78" s="116">
        <f t="shared" si="16"/>
        <v>0</v>
      </c>
      <c r="J78" s="116">
        <f t="shared" si="10"/>
        <v>0</v>
      </c>
      <c r="K78" s="116">
        <f t="shared" si="17"/>
        <v>0</v>
      </c>
      <c r="L78" s="116">
        <f t="shared" si="18"/>
        <v>0</v>
      </c>
      <c r="M78" s="116">
        <f t="shared" si="19"/>
        <v>3.6901852022987227</v>
      </c>
      <c r="N78" s="116">
        <f t="shared" si="20"/>
        <v>33.61162139353102</v>
      </c>
    </row>
    <row r="79" spans="1:14" ht="12.75">
      <c r="A79" s="167">
        <f t="shared" si="11"/>
        <v>43</v>
      </c>
      <c r="B79" s="167">
        <f t="shared" si="11"/>
        <v>42.5</v>
      </c>
      <c r="C79" s="167">
        <v>1</v>
      </c>
      <c r="D79" s="27">
        <f t="shared" si="13"/>
        <v>120</v>
      </c>
      <c r="E79" s="168">
        <f t="shared" si="21"/>
        <v>3.1597222222222254</v>
      </c>
      <c r="F79" s="117">
        <f t="shared" si="14"/>
        <v>3.0694722222222253</v>
      </c>
      <c r="G79" s="27">
        <f t="shared" si="15"/>
        <v>35</v>
      </c>
      <c r="H79" s="27">
        <f t="shared" si="12"/>
        <v>0</v>
      </c>
      <c r="I79" s="116">
        <f t="shared" si="16"/>
        <v>0</v>
      </c>
      <c r="J79" s="116">
        <f t="shared" si="10"/>
        <v>0</v>
      </c>
      <c r="K79" s="116">
        <f t="shared" si="17"/>
        <v>0</v>
      </c>
      <c r="L79" s="116">
        <f t="shared" si="18"/>
        <v>0</v>
      </c>
      <c r="M79" s="116">
        <f t="shared" si="19"/>
        <v>3.6901852022987227</v>
      </c>
      <c r="N79" s="116">
        <f t="shared" si="20"/>
        <v>33.9807629199343</v>
      </c>
    </row>
    <row r="80" spans="1:14" ht="12.75">
      <c r="A80" s="167">
        <f t="shared" si="11"/>
        <v>44</v>
      </c>
      <c r="B80" s="167">
        <f t="shared" si="11"/>
        <v>43.5</v>
      </c>
      <c r="C80" s="167">
        <v>1</v>
      </c>
      <c r="D80" s="27">
        <f t="shared" si="13"/>
        <v>120</v>
      </c>
      <c r="E80" s="168">
        <f t="shared" si="21"/>
        <v>3.22916666666667</v>
      </c>
      <c r="F80" s="117">
        <f t="shared" si="14"/>
        <v>3.10281666666667</v>
      </c>
      <c r="G80" s="27">
        <f t="shared" si="15"/>
        <v>35</v>
      </c>
      <c r="H80" s="27">
        <f t="shared" si="12"/>
        <v>0</v>
      </c>
      <c r="I80" s="116">
        <f t="shared" si="16"/>
        <v>0</v>
      </c>
      <c r="J80" s="116">
        <f t="shared" si="10"/>
        <v>0</v>
      </c>
      <c r="K80" s="116">
        <f t="shared" si="17"/>
        <v>0</v>
      </c>
      <c r="L80" s="116">
        <f t="shared" si="18"/>
        <v>0</v>
      </c>
      <c r="M80" s="116">
        <f t="shared" si="19"/>
        <v>3.6901852022987227</v>
      </c>
      <c r="N80" s="116">
        <f t="shared" si="20"/>
        <v>34.34990444633759</v>
      </c>
    </row>
    <row r="81" spans="1:14" ht="12.75">
      <c r="A81" s="167">
        <f t="shared" si="11"/>
        <v>45</v>
      </c>
      <c r="B81" s="167">
        <f t="shared" si="11"/>
        <v>44.5</v>
      </c>
      <c r="C81" s="167">
        <v>1</v>
      </c>
      <c r="D81" s="27">
        <f t="shared" si="13"/>
        <v>120</v>
      </c>
      <c r="E81" s="168">
        <f t="shared" si="21"/>
        <v>3.2986111111111147</v>
      </c>
      <c r="F81" s="117">
        <f t="shared" si="14"/>
        <v>3.1361611111111145</v>
      </c>
      <c r="G81" s="27">
        <f t="shared" si="15"/>
        <v>35</v>
      </c>
      <c r="H81" s="27">
        <f t="shared" si="12"/>
        <v>0</v>
      </c>
      <c r="I81" s="116">
        <f t="shared" si="16"/>
        <v>0</v>
      </c>
      <c r="J81" s="116">
        <f t="shared" si="10"/>
        <v>0</v>
      </c>
      <c r="K81" s="116">
        <f t="shared" si="17"/>
        <v>0</v>
      </c>
      <c r="L81" s="116">
        <f t="shared" si="18"/>
        <v>0</v>
      </c>
      <c r="M81" s="116">
        <f t="shared" si="19"/>
        <v>3.6901852022987227</v>
      </c>
      <c r="N81" s="116">
        <f t="shared" si="20"/>
        <v>34.719045972740865</v>
      </c>
    </row>
    <row r="82" spans="1:14" ht="12.75">
      <c r="A82" s="167">
        <f t="shared" si="11"/>
        <v>46</v>
      </c>
      <c r="B82" s="167">
        <f t="shared" si="11"/>
        <v>45.5</v>
      </c>
      <c r="C82" s="167">
        <v>1</v>
      </c>
      <c r="D82" s="27">
        <f t="shared" si="13"/>
        <v>120</v>
      </c>
      <c r="E82" s="168">
        <f t="shared" si="21"/>
        <v>3.3680555555555594</v>
      </c>
      <c r="F82" s="117">
        <f t="shared" si="14"/>
        <v>3.1695055555555594</v>
      </c>
      <c r="G82" s="27">
        <f t="shared" si="15"/>
        <v>35</v>
      </c>
      <c r="H82" s="27">
        <f t="shared" si="12"/>
        <v>0</v>
      </c>
      <c r="I82" s="116">
        <f t="shared" si="16"/>
        <v>0</v>
      </c>
      <c r="J82" s="116">
        <f t="shared" si="10"/>
        <v>0</v>
      </c>
      <c r="K82" s="116">
        <f t="shared" si="17"/>
        <v>0</v>
      </c>
      <c r="L82" s="116">
        <f t="shared" si="18"/>
        <v>0</v>
      </c>
      <c r="M82" s="116">
        <f t="shared" si="19"/>
        <v>3.6901852022987227</v>
      </c>
      <c r="N82" s="116">
        <f t="shared" si="20"/>
        <v>35.088187499144155</v>
      </c>
    </row>
    <row r="83" spans="1:14" ht="12.75">
      <c r="A83" s="167">
        <f t="shared" si="11"/>
        <v>47</v>
      </c>
      <c r="B83" s="167">
        <f t="shared" si="11"/>
        <v>46.5</v>
      </c>
      <c r="C83" s="167">
        <v>1</v>
      </c>
      <c r="D83" s="27">
        <f t="shared" si="13"/>
        <v>120</v>
      </c>
      <c r="E83" s="168">
        <f t="shared" si="21"/>
        <v>3.437500000000004</v>
      </c>
      <c r="F83" s="117">
        <f t="shared" si="14"/>
        <v>3.202850000000004</v>
      </c>
      <c r="G83" s="27">
        <f t="shared" si="15"/>
        <v>35</v>
      </c>
      <c r="H83" s="27">
        <f t="shared" si="12"/>
        <v>0</v>
      </c>
      <c r="I83" s="116">
        <f t="shared" si="16"/>
        <v>0</v>
      </c>
      <c r="J83" s="116">
        <f t="shared" si="10"/>
        <v>0</v>
      </c>
      <c r="K83" s="116">
        <f t="shared" si="17"/>
        <v>0</v>
      </c>
      <c r="L83" s="116">
        <f t="shared" si="18"/>
        <v>0</v>
      </c>
      <c r="M83" s="116">
        <f t="shared" si="19"/>
        <v>3.6901852022987227</v>
      </c>
      <c r="N83" s="116">
        <f t="shared" si="20"/>
        <v>35.45732902554744</v>
      </c>
    </row>
    <row r="84" spans="1:14" ht="12.75">
      <c r="A84" s="167">
        <f t="shared" si="11"/>
        <v>48</v>
      </c>
      <c r="B84" s="167">
        <f t="shared" si="11"/>
        <v>47.5</v>
      </c>
      <c r="C84" s="167">
        <v>1</v>
      </c>
      <c r="D84" s="27">
        <f t="shared" si="13"/>
        <v>120</v>
      </c>
      <c r="E84" s="168">
        <f t="shared" si="21"/>
        <v>3.5069444444444486</v>
      </c>
      <c r="F84" s="117">
        <f t="shared" si="14"/>
        <v>3.2361944444444486</v>
      </c>
      <c r="G84" s="27">
        <f t="shared" si="15"/>
        <v>35</v>
      </c>
      <c r="H84" s="27">
        <f t="shared" si="12"/>
        <v>0</v>
      </c>
      <c r="I84" s="116">
        <f t="shared" si="16"/>
        <v>0</v>
      </c>
      <c r="J84" s="116">
        <f t="shared" si="10"/>
        <v>0</v>
      </c>
      <c r="K84" s="116">
        <f t="shared" si="17"/>
        <v>0</v>
      </c>
      <c r="L84" s="116">
        <f t="shared" si="18"/>
        <v>0</v>
      </c>
      <c r="M84" s="116">
        <f t="shared" si="19"/>
        <v>3.6901852022987227</v>
      </c>
      <c r="N84" s="116">
        <f t="shared" si="20"/>
        <v>35.82647055195072</v>
      </c>
    </row>
    <row r="85" spans="1:14" ht="12.75">
      <c r="A85" s="167">
        <f t="shared" si="11"/>
        <v>49</v>
      </c>
      <c r="B85" s="167">
        <f t="shared" si="11"/>
        <v>48.5</v>
      </c>
      <c r="C85" s="167">
        <v>1</v>
      </c>
      <c r="D85" s="27">
        <f t="shared" si="13"/>
        <v>120</v>
      </c>
      <c r="E85" s="168">
        <f t="shared" si="21"/>
        <v>3.5763888888888933</v>
      </c>
      <c r="F85" s="117">
        <f t="shared" si="14"/>
        <v>3.2695388888888934</v>
      </c>
      <c r="G85" s="27">
        <f t="shared" si="15"/>
        <v>35</v>
      </c>
      <c r="H85" s="27">
        <f t="shared" si="12"/>
        <v>0</v>
      </c>
      <c r="I85" s="116">
        <f t="shared" si="16"/>
        <v>0</v>
      </c>
      <c r="J85" s="116">
        <f t="shared" si="10"/>
        <v>0</v>
      </c>
      <c r="K85" s="116">
        <f t="shared" si="17"/>
        <v>0</v>
      </c>
      <c r="L85" s="116">
        <f t="shared" si="18"/>
        <v>0</v>
      </c>
      <c r="M85" s="116">
        <f t="shared" si="19"/>
        <v>3.6901852022987227</v>
      </c>
      <c r="N85" s="116">
        <f t="shared" si="20"/>
        <v>36.195612078354</v>
      </c>
    </row>
    <row r="86" spans="1:14" ht="12.75">
      <c r="A86" s="167">
        <f t="shared" si="11"/>
        <v>50</v>
      </c>
      <c r="B86" s="167">
        <f t="shared" si="11"/>
        <v>49.5</v>
      </c>
      <c r="C86" s="167">
        <v>1</v>
      </c>
      <c r="D86" s="27">
        <f t="shared" si="13"/>
        <v>120</v>
      </c>
      <c r="E86" s="168">
        <f t="shared" si="21"/>
        <v>3.645833333333338</v>
      </c>
      <c r="F86" s="117">
        <f t="shared" si="14"/>
        <v>3.302883333333338</v>
      </c>
      <c r="G86" s="27">
        <f t="shared" si="15"/>
        <v>35</v>
      </c>
      <c r="H86" s="27">
        <f t="shared" si="12"/>
        <v>0</v>
      </c>
      <c r="I86" s="116">
        <f t="shared" si="16"/>
        <v>0</v>
      </c>
      <c r="J86" s="116">
        <f t="shared" si="10"/>
        <v>0</v>
      </c>
      <c r="K86" s="116">
        <f t="shared" si="17"/>
        <v>0</v>
      </c>
      <c r="L86" s="116">
        <f t="shared" si="18"/>
        <v>0</v>
      </c>
      <c r="M86" s="116">
        <f t="shared" si="19"/>
        <v>3.6901852022987227</v>
      </c>
      <c r="N86" s="116">
        <f t="shared" si="20"/>
        <v>36.564753604757286</v>
      </c>
    </row>
    <row r="87" spans="1:14" ht="12.75">
      <c r="A87" s="167">
        <f t="shared" si="11"/>
        <v>51</v>
      </c>
      <c r="B87" s="167">
        <f t="shared" si="11"/>
        <v>50.5</v>
      </c>
      <c r="C87" s="167">
        <v>1</v>
      </c>
      <c r="D87" s="27">
        <f t="shared" si="13"/>
        <v>120</v>
      </c>
      <c r="E87" s="168">
        <f t="shared" si="21"/>
        <v>3.7152777777777826</v>
      </c>
      <c r="F87" s="117">
        <f t="shared" si="14"/>
        <v>3.3362277777777827</v>
      </c>
      <c r="G87" s="27">
        <f t="shared" si="15"/>
        <v>35</v>
      </c>
      <c r="H87" s="27">
        <f t="shared" si="12"/>
        <v>0</v>
      </c>
      <c r="I87" s="116">
        <f t="shared" si="16"/>
        <v>0</v>
      </c>
      <c r="J87" s="116">
        <f t="shared" si="10"/>
        <v>0</v>
      </c>
      <c r="K87" s="116">
        <f t="shared" si="17"/>
        <v>0</v>
      </c>
      <c r="L87" s="116">
        <f t="shared" si="18"/>
        <v>0</v>
      </c>
      <c r="M87" s="116">
        <f t="shared" si="19"/>
        <v>3.6901852022987227</v>
      </c>
      <c r="N87" s="116">
        <f t="shared" si="20"/>
        <v>36.933895131160575</v>
      </c>
    </row>
    <row r="88" spans="1:14" ht="12.75">
      <c r="A88" s="167">
        <f t="shared" si="11"/>
        <v>52</v>
      </c>
      <c r="B88" s="167">
        <f t="shared" si="11"/>
        <v>51.5</v>
      </c>
      <c r="C88" s="167">
        <v>1</v>
      </c>
      <c r="D88" s="27">
        <f t="shared" si="13"/>
        <v>120</v>
      </c>
      <c r="E88" s="168">
        <f t="shared" si="21"/>
        <v>3.784722222222227</v>
      </c>
      <c r="F88" s="117">
        <f t="shared" si="14"/>
        <v>3.369572222222227</v>
      </c>
      <c r="G88" s="27">
        <f t="shared" si="15"/>
        <v>35</v>
      </c>
      <c r="H88" s="27">
        <f t="shared" si="12"/>
        <v>0</v>
      </c>
      <c r="I88" s="116">
        <f t="shared" si="16"/>
        <v>0</v>
      </c>
      <c r="J88" s="116">
        <f t="shared" si="10"/>
        <v>0</v>
      </c>
      <c r="K88" s="116">
        <f t="shared" si="17"/>
        <v>0</v>
      </c>
      <c r="L88" s="116">
        <f t="shared" si="18"/>
        <v>0</v>
      </c>
      <c r="M88" s="116">
        <f t="shared" si="19"/>
        <v>3.6901852022987227</v>
      </c>
      <c r="N88" s="116">
        <f t="shared" si="20"/>
        <v>37.30303665756386</v>
      </c>
    </row>
    <row r="89" spans="1:14" ht="12.75">
      <c r="A89" s="167">
        <f t="shared" si="11"/>
        <v>53</v>
      </c>
      <c r="B89" s="167">
        <f t="shared" si="11"/>
        <v>52.5</v>
      </c>
      <c r="C89" s="167">
        <v>1</v>
      </c>
      <c r="D89" s="27">
        <f t="shared" si="13"/>
        <v>120</v>
      </c>
      <c r="E89" s="168">
        <f t="shared" si="21"/>
        <v>3.854166666666672</v>
      </c>
      <c r="F89" s="117">
        <f t="shared" si="14"/>
        <v>3.402916666666672</v>
      </c>
      <c r="G89" s="27">
        <f t="shared" si="15"/>
        <v>35</v>
      </c>
      <c r="H89" s="27">
        <f t="shared" si="12"/>
        <v>0</v>
      </c>
      <c r="I89" s="116">
        <f t="shared" si="16"/>
        <v>0</v>
      </c>
      <c r="J89" s="116">
        <f t="shared" si="10"/>
        <v>0</v>
      </c>
      <c r="K89" s="116">
        <f t="shared" si="17"/>
        <v>0</v>
      </c>
      <c r="L89" s="116">
        <f t="shared" si="18"/>
        <v>0</v>
      </c>
      <c r="M89" s="116">
        <f t="shared" si="19"/>
        <v>3.6901852022987227</v>
      </c>
      <c r="N89" s="116">
        <f t="shared" si="20"/>
        <v>37.67217818396715</v>
      </c>
    </row>
    <row r="90" spans="1:14" ht="12.75">
      <c r="A90" s="167">
        <f t="shared" si="11"/>
        <v>54</v>
      </c>
      <c r="B90" s="167">
        <f t="shared" si="11"/>
        <v>53.5</v>
      </c>
      <c r="C90" s="167">
        <v>1</v>
      </c>
      <c r="D90" s="27">
        <f t="shared" si="13"/>
        <v>120</v>
      </c>
      <c r="E90" s="168">
        <f t="shared" si="21"/>
        <v>3.9236111111111165</v>
      </c>
      <c r="F90" s="117">
        <f t="shared" si="14"/>
        <v>3.4362611111111163</v>
      </c>
      <c r="G90" s="27">
        <f t="shared" si="15"/>
        <v>35</v>
      </c>
      <c r="H90" s="27">
        <f t="shared" si="12"/>
        <v>0</v>
      </c>
      <c r="I90" s="116">
        <f t="shared" si="16"/>
        <v>0</v>
      </c>
      <c r="J90" s="116">
        <f t="shared" si="10"/>
        <v>0</v>
      </c>
      <c r="K90" s="116">
        <f t="shared" si="17"/>
        <v>0</v>
      </c>
      <c r="L90" s="116">
        <f t="shared" si="18"/>
        <v>0</v>
      </c>
      <c r="M90" s="116">
        <f t="shared" si="19"/>
        <v>3.6901852022987227</v>
      </c>
      <c r="N90" s="116">
        <f t="shared" si="20"/>
        <v>38.04131971037042</v>
      </c>
    </row>
    <row r="91" spans="1:14" ht="12.75">
      <c r="A91" s="167">
        <f t="shared" si="11"/>
        <v>55</v>
      </c>
      <c r="B91" s="167">
        <f t="shared" si="11"/>
        <v>54.5</v>
      </c>
      <c r="C91" s="167">
        <v>1</v>
      </c>
      <c r="D91" s="27">
        <f t="shared" si="13"/>
        <v>120</v>
      </c>
      <c r="E91" s="168">
        <f t="shared" si="21"/>
        <v>3.993055555555561</v>
      </c>
      <c r="F91" s="117">
        <f t="shared" si="14"/>
        <v>3.469605555555561</v>
      </c>
      <c r="G91" s="27">
        <f t="shared" si="15"/>
        <v>35</v>
      </c>
      <c r="H91" s="27">
        <f t="shared" si="12"/>
        <v>0</v>
      </c>
      <c r="I91" s="116">
        <f t="shared" si="16"/>
        <v>0</v>
      </c>
      <c r="J91" s="116">
        <f t="shared" si="10"/>
        <v>0</v>
      </c>
      <c r="K91" s="116">
        <f t="shared" si="17"/>
        <v>0</v>
      </c>
      <c r="L91" s="116">
        <f t="shared" si="18"/>
        <v>0</v>
      </c>
      <c r="M91" s="116">
        <f t="shared" si="19"/>
        <v>3.6901852022987227</v>
      </c>
      <c r="N91" s="116">
        <f t="shared" si="20"/>
        <v>38.41046123677371</v>
      </c>
    </row>
    <row r="92" spans="1:14" ht="12.75">
      <c r="A92" s="167">
        <f t="shared" si="11"/>
        <v>56</v>
      </c>
      <c r="B92" s="167">
        <f t="shared" si="11"/>
        <v>55.5</v>
      </c>
      <c r="C92" s="167">
        <v>1</v>
      </c>
      <c r="D92" s="27">
        <f t="shared" si="13"/>
        <v>120</v>
      </c>
      <c r="E92" s="168">
        <f t="shared" si="21"/>
        <v>4.062500000000005</v>
      </c>
      <c r="F92" s="117">
        <f t="shared" si="14"/>
        <v>3.5029500000000056</v>
      </c>
      <c r="G92" s="27">
        <f t="shared" si="15"/>
        <v>35</v>
      </c>
      <c r="H92" s="27">
        <f t="shared" si="12"/>
        <v>0</v>
      </c>
      <c r="I92" s="116">
        <f t="shared" si="16"/>
        <v>0</v>
      </c>
      <c r="J92" s="116">
        <f t="shared" si="10"/>
        <v>0</v>
      </c>
      <c r="K92" s="116">
        <f t="shared" si="17"/>
        <v>0</v>
      </c>
      <c r="L92" s="116">
        <f t="shared" si="18"/>
        <v>0</v>
      </c>
      <c r="M92" s="116">
        <f t="shared" si="19"/>
        <v>3.6901852022987227</v>
      </c>
      <c r="N92" s="116">
        <f t="shared" si="20"/>
        <v>38.779602763176996</v>
      </c>
    </row>
    <row r="93" spans="1:14" ht="12.75">
      <c r="A93" s="167">
        <f t="shared" si="11"/>
        <v>57</v>
      </c>
      <c r="B93" s="167">
        <f t="shared" si="11"/>
        <v>56.5</v>
      </c>
      <c r="C93" s="167">
        <v>1</v>
      </c>
      <c r="D93" s="27">
        <f t="shared" si="13"/>
        <v>120</v>
      </c>
      <c r="E93" s="168">
        <f t="shared" si="21"/>
        <v>4.13194444444445</v>
      </c>
      <c r="F93" s="117">
        <f t="shared" si="14"/>
        <v>3.53629444444445</v>
      </c>
      <c r="G93" s="27">
        <f t="shared" si="15"/>
        <v>35</v>
      </c>
      <c r="H93" s="27">
        <f t="shared" si="12"/>
        <v>0</v>
      </c>
      <c r="I93" s="116">
        <f t="shared" si="16"/>
        <v>0</v>
      </c>
      <c r="J93" s="116">
        <f t="shared" si="10"/>
        <v>0</v>
      </c>
      <c r="K93" s="116">
        <f t="shared" si="17"/>
        <v>0</v>
      </c>
      <c r="L93" s="116">
        <f t="shared" si="18"/>
        <v>0</v>
      </c>
      <c r="M93" s="116">
        <f t="shared" si="19"/>
        <v>3.6901852022987227</v>
      </c>
      <c r="N93" s="116">
        <f t="shared" si="20"/>
        <v>39.14874428958028</v>
      </c>
    </row>
    <row r="94" spans="1:14" ht="12.75">
      <c r="A94" s="167">
        <f t="shared" si="11"/>
        <v>58</v>
      </c>
      <c r="B94" s="167">
        <f t="shared" si="11"/>
        <v>57.5</v>
      </c>
      <c r="C94" s="167">
        <v>1</v>
      </c>
      <c r="D94" s="27">
        <f t="shared" si="13"/>
        <v>120</v>
      </c>
      <c r="E94" s="168">
        <f t="shared" si="21"/>
        <v>4.201388888888895</v>
      </c>
      <c r="F94" s="117">
        <f t="shared" si="14"/>
        <v>3.5696388888888944</v>
      </c>
      <c r="G94" s="27">
        <f t="shared" si="15"/>
        <v>35</v>
      </c>
      <c r="H94" s="27">
        <f t="shared" si="12"/>
        <v>0</v>
      </c>
      <c r="I94" s="116">
        <f t="shared" si="16"/>
        <v>0</v>
      </c>
      <c r="J94" s="116">
        <f t="shared" si="10"/>
        <v>0</v>
      </c>
      <c r="K94" s="116">
        <f t="shared" si="17"/>
        <v>0</v>
      </c>
      <c r="L94" s="116">
        <f t="shared" si="18"/>
        <v>0</v>
      </c>
      <c r="M94" s="116">
        <f t="shared" si="19"/>
        <v>3.6901852022987227</v>
      </c>
      <c r="N94" s="116">
        <f t="shared" si="20"/>
        <v>39.51788581598356</v>
      </c>
    </row>
    <row r="95" spans="1:14" ht="12.75">
      <c r="A95" s="167">
        <f t="shared" si="11"/>
        <v>59</v>
      </c>
      <c r="B95" s="167">
        <f t="shared" si="11"/>
        <v>58.5</v>
      </c>
      <c r="C95" s="167">
        <v>1</v>
      </c>
      <c r="D95" s="27">
        <f t="shared" si="13"/>
        <v>120</v>
      </c>
      <c r="E95" s="168">
        <f t="shared" si="21"/>
        <v>4.270833333333339</v>
      </c>
      <c r="F95" s="117">
        <f t="shared" si="14"/>
        <v>3.602983333333339</v>
      </c>
      <c r="G95" s="27">
        <f t="shared" si="15"/>
        <v>35</v>
      </c>
      <c r="H95" s="27">
        <f t="shared" si="12"/>
        <v>0</v>
      </c>
      <c r="I95" s="116">
        <f t="shared" si="16"/>
        <v>0</v>
      </c>
      <c r="J95" s="116">
        <f t="shared" si="10"/>
        <v>0</v>
      </c>
      <c r="K95" s="116">
        <f t="shared" si="17"/>
        <v>0</v>
      </c>
      <c r="L95" s="116">
        <f t="shared" si="18"/>
        <v>0</v>
      </c>
      <c r="M95" s="116">
        <f t="shared" si="19"/>
        <v>3.6901852022987227</v>
      </c>
      <c r="N95" s="116">
        <f t="shared" si="20"/>
        <v>39.887027342386844</v>
      </c>
    </row>
    <row r="96" spans="1:14" ht="12.75">
      <c r="A96" s="167">
        <f t="shared" si="11"/>
        <v>60</v>
      </c>
      <c r="B96" s="167">
        <f t="shared" si="11"/>
        <v>59.5</v>
      </c>
      <c r="C96" s="167">
        <v>1</v>
      </c>
      <c r="D96" s="27">
        <f t="shared" si="13"/>
        <v>120</v>
      </c>
      <c r="E96" s="168">
        <f t="shared" si="21"/>
        <v>4.340277777777784</v>
      </c>
      <c r="F96" s="117">
        <f t="shared" si="14"/>
        <v>3.636327777777784</v>
      </c>
      <c r="G96" s="27">
        <f t="shared" si="15"/>
        <v>35</v>
      </c>
      <c r="H96" s="27">
        <f t="shared" si="12"/>
        <v>0</v>
      </c>
      <c r="I96" s="116">
        <f t="shared" si="16"/>
        <v>0</v>
      </c>
      <c r="J96" s="116">
        <f t="shared" si="10"/>
        <v>0</v>
      </c>
      <c r="K96" s="116">
        <f t="shared" si="17"/>
        <v>0</v>
      </c>
      <c r="L96" s="116">
        <f t="shared" si="18"/>
        <v>0</v>
      </c>
      <c r="M96" s="116">
        <f t="shared" si="19"/>
        <v>3.6901852022987227</v>
      </c>
      <c r="N96" s="116">
        <f t="shared" si="20"/>
        <v>40.25616886879013</v>
      </c>
    </row>
    <row r="97" spans="1:14" ht="12.75">
      <c r="A97" s="167">
        <f t="shared" si="11"/>
        <v>61</v>
      </c>
      <c r="B97" s="167">
        <f t="shared" si="11"/>
        <v>60.5</v>
      </c>
      <c r="C97" s="167">
        <v>1</v>
      </c>
      <c r="D97" s="27">
        <f t="shared" si="13"/>
        <v>120</v>
      </c>
      <c r="E97" s="168">
        <f t="shared" si="21"/>
        <v>4.4097222222222285</v>
      </c>
      <c r="F97" s="117">
        <f t="shared" si="14"/>
        <v>3.6696722222222284</v>
      </c>
      <c r="G97" s="27">
        <f t="shared" si="15"/>
        <v>35</v>
      </c>
      <c r="H97" s="27">
        <f t="shared" si="12"/>
        <v>0</v>
      </c>
      <c r="I97" s="116">
        <f t="shared" si="16"/>
        <v>0</v>
      </c>
      <c r="J97" s="116">
        <f t="shared" si="10"/>
        <v>0</v>
      </c>
      <c r="K97" s="116">
        <f t="shared" si="17"/>
        <v>0</v>
      </c>
      <c r="L97" s="116">
        <f t="shared" si="18"/>
        <v>0</v>
      </c>
      <c r="M97" s="116">
        <f t="shared" si="19"/>
        <v>3.6901852022987227</v>
      </c>
      <c r="N97" s="116">
        <f t="shared" si="20"/>
        <v>40.62531039519341</v>
      </c>
    </row>
    <row r="98" spans="1:14" ht="12.75">
      <c r="A98" s="167">
        <f t="shared" si="11"/>
        <v>62</v>
      </c>
      <c r="B98" s="167">
        <f t="shared" si="11"/>
        <v>61.5</v>
      </c>
      <c r="C98" s="167">
        <v>1</v>
      </c>
      <c r="D98" s="27">
        <f t="shared" si="13"/>
        <v>120</v>
      </c>
      <c r="E98" s="168">
        <f t="shared" si="21"/>
        <v>4.479166666666673</v>
      </c>
      <c r="F98" s="117">
        <f t="shared" si="14"/>
        <v>3.7030166666666733</v>
      </c>
      <c r="G98" s="27">
        <f t="shared" si="15"/>
        <v>35</v>
      </c>
      <c r="H98" s="27">
        <f t="shared" si="12"/>
        <v>0</v>
      </c>
      <c r="I98" s="116">
        <f t="shared" si="16"/>
        <v>0</v>
      </c>
      <c r="J98" s="116">
        <f t="shared" si="10"/>
        <v>0</v>
      </c>
      <c r="K98" s="116">
        <f t="shared" si="17"/>
        <v>0</v>
      </c>
      <c r="L98" s="116">
        <f t="shared" si="18"/>
        <v>0</v>
      </c>
      <c r="M98" s="116">
        <f t="shared" si="19"/>
        <v>3.6901852022987227</v>
      </c>
      <c r="N98" s="116">
        <f t="shared" si="20"/>
        <v>40.9944519215967</v>
      </c>
    </row>
    <row r="99" spans="1:14" ht="12.75">
      <c r="A99" s="167">
        <f t="shared" si="11"/>
        <v>63</v>
      </c>
      <c r="B99" s="167">
        <f t="shared" si="11"/>
        <v>62.5</v>
      </c>
      <c r="C99" s="167">
        <v>1</v>
      </c>
      <c r="D99" s="27">
        <f t="shared" si="13"/>
        <v>120</v>
      </c>
      <c r="E99" s="168">
        <f t="shared" si="21"/>
        <v>4.548611111111118</v>
      </c>
      <c r="F99" s="117">
        <f t="shared" si="14"/>
        <v>3.7363611111111177</v>
      </c>
      <c r="G99" s="27">
        <f t="shared" si="15"/>
        <v>35</v>
      </c>
      <c r="H99" s="27">
        <f t="shared" si="12"/>
        <v>0</v>
      </c>
      <c r="I99" s="116">
        <f t="shared" si="16"/>
        <v>0</v>
      </c>
      <c r="J99" s="116">
        <f t="shared" si="10"/>
        <v>0</v>
      </c>
      <c r="K99" s="116">
        <f t="shared" si="17"/>
        <v>0</v>
      </c>
      <c r="L99" s="116">
        <f t="shared" si="18"/>
        <v>0</v>
      </c>
      <c r="M99" s="116">
        <f t="shared" si="19"/>
        <v>3.6901852022987227</v>
      </c>
      <c r="N99" s="116">
        <f t="shared" si="20"/>
        <v>41.363593447999975</v>
      </c>
    </row>
    <row r="100" spans="1:14" ht="12.75">
      <c r="A100" s="167">
        <f t="shared" si="11"/>
        <v>64</v>
      </c>
      <c r="B100" s="167">
        <f t="shared" si="11"/>
        <v>63.5</v>
      </c>
      <c r="C100" s="167">
        <v>1</v>
      </c>
      <c r="D100" s="27">
        <f t="shared" si="13"/>
        <v>120</v>
      </c>
      <c r="E100" s="168">
        <f t="shared" si="21"/>
        <v>4.6180555555555625</v>
      </c>
      <c r="F100" s="117">
        <f t="shared" si="14"/>
        <v>3.7697055555555625</v>
      </c>
      <c r="G100" s="27">
        <f t="shared" si="15"/>
        <v>35</v>
      </c>
      <c r="H100" s="27">
        <f t="shared" si="12"/>
        <v>0</v>
      </c>
      <c r="I100" s="116">
        <f t="shared" si="16"/>
        <v>0</v>
      </c>
      <c r="J100" s="116">
        <f t="shared" si="10"/>
        <v>0</v>
      </c>
      <c r="K100" s="116">
        <f t="shared" si="17"/>
        <v>0</v>
      </c>
      <c r="L100" s="116">
        <f t="shared" si="18"/>
        <v>0</v>
      </c>
      <c r="M100" s="116">
        <f t="shared" si="19"/>
        <v>3.6901852022987227</v>
      </c>
      <c r="N100" s="116">
        <f t="shared" si="20"/>
        <v>41.732734974403265</v>
      </c>
    </row>
    <row r="101" spans="1:14" ht="12.75">
      <c r="A101" s="167">
        <f t="shared" si="11"/>
        <v>65</v>
      </c>
      <c r="B101" s="167">
        <f t="shared" si="11"/>
        <v>64.5</v>
      </c>
      <c r="C101" s="167">
        <v>1</v>
      </c>
      <c r="D101" s="27">
        <f aca="true" t="shared" si="22" ref="D101:D132">IF(AND($B101&gt;$B$11,$B101&lt;$C$11),$D$11,IF(AND($B101&gt;$B$12,$B101&lt;$C$12),$D$12,IF(AND($B101&gt;$B$13,$B101&lt;$C$13),$D$13,IF(AND($B101&gt;$B$14,$B101&lt;$C$14),$D$14,IF(AND($B101&gt;$B$15,$B101&lt;$C$15),$D$15,IF(AND($B101&gt;$B$16,$B101&lt;$C$16),$D$16,IF(AND($B101&gt;$B$17,$B101&lt;$C$17),$D$17)))))))</f>
        <v>120</v>
      </c>
      <c r="E101" s="168">
        <f t="shared" si="21"/>
        <v>4.687500000000007</v>
      </c>
      <c r="F101" s="117">
        <f aca="true" t="shared" si="23" ref="F101:F132">IF(B101&lt;$E$25,E101,E101-0.0361*(B101-$E$25))</f>
        <v>3.803050000000007</v>
      </c>
      <c r="G101" s="27">
        <f aca="true" t="shared" si="24" ref="G101:G132">IF(AND($B101&gt;$B$11,$B101&lt;$C$11),$E$11,IF(AND($B101&gt;$B$12,$B101&lt;$C$12),$E$12,IF(AND($B101&gt;$B$13,$B101&lt;$C$13),$E$13,IF(AND($B101&gt;$B$14,$B101&lt;$C$14),$E$14,IF(AND($B101&gt;$B$15,$B101&lt;$C$15),$E$15,IF(AND($B101&gt;$B$16,$B101&lt;$C$16),$E$16,IF(AND($B101&gt;$B$17,$B101&lt;$C$17),$E$17)))))))</f>
        <v>35</v>
      </c>
      <c r="H101" s="27">
        <f t="shared" si="12"/>
        <v>0</v>
      </c>
      <c r="I101" s="116">
        <f aca="true" t="shared" si="25" ref="I101:I132">IF(AND($B101&gt;$B$11,$B101&lt;$C$11),$G$11,IF(AND($B101&gt;$B$12,$B101&lt;$C$12),$G$12,IF(AND($B101&gt;$B$13,$B101&lt;$C$13),$G$13,IF(AND($B101&gt;$B$14,$B101&lt;$C$14),$G$14,IF(AND($B101&gt;$B$15,$B101&lt;$C$15),$G$15,IF(AND($B101&gt;$B$16,$B101&lt;$C$16),$G$16,IF(AND($B101&gt;$B$17,$B101&lt;$C$17),$G$17)))))))</f>
        <v>0</v>
      </c>
      <c r="J101" s="116">
        <f t="shared" si="10"/>
        <v>0</v>
      </c>
      <c r="K101" s="116">
        <f aca="true" t="shared" si="26" ref="K101:K132">IF($B101&gt;4*$E$26,H101,H101*(1/3+$B101/(2*$E$26)/3))</f>
        <v>0</v>
      </c>
      <c r="L101" s="116">
        <f aca="true" t="shared" si="27" ref="L101:L132">IF($B101&gt;4*$E$26,I101,I101*(1/3+$B101/(2*$E$26)/3))</f>
        <v>0</v>
      </c>
      <c r="M101" s="116">
        <f aca="true" t="shared" si="28" ref="M101:M132">IF(G101&lt;0.5,0,(1+SIN(G101*3.1416/180))/(1-SIN(G101*3.1416/180)))</f>
        <v>3.6901852022987227</v>
      </c>
      <c r="N101" s="116">
        <f aca="true" t="shared" si="29" ref="N101:N132">IF($E$27=1,3*($F101*$M101+2*$K101*$M101^0.5),IF($E$27=2,9*$L101,IF($E$27=3,$J101,0)))</f>
        <v>42.10187650080655</v>
      </c>
    </row>
    <row r="102" spans="1:14" ht="12.75">
      <c r="A102" s="167">
        <f t="shared" si="11"/>
        <v>66</v>
      </c>
      <c r="B102" s="167">
        <f t="shared" si="11"/>
        <v>65.5</v>
      </c>
      <c r="C102" s="167">
        <v>1</v>
      </c>
      <c r="D102" s="27">
        <f t="shared" si="22"/>
        <v>120</v>
      </c>
      <c r="E102" s="168">
        <f aca="true" t="shared" si="30" ref="E102:E133">+E101+(D101+D102)/2/1728</f>
        <v>4.756944444444452</v>
      </c>
      <c r="F102" s="117">
        <f t="shared" si="23"/>
        <v>3.8363944444444518</v>
      </c>
      <c r="G102" s="27">
        <f t="shared" si="24"/>
        <v>35</v>
      </c>
      <c r="H102" s="27">
        <f t="shared" si="12"/>
        <v>0</v>
      </c>
      <c r="I102" s="116">
        <f t="shared" si="25"/>
        <v>0</v>
      </c>
      <c r="J102" s="116">
        <f aca="true" t="shared" si="31" ref="J102:J144">IF(AND($B102&gt;$B$11,$B102&lt;$C$11),$H$11,IF(AND($B102&gt;$B$12,$B102&lt;$C$12),$H$12,IF(AND($B102&gt;$B$13,$B102&lt;$C$13),$H$13,IF(AND($B102&gt;$B$14,$B102&lt;$C$14),$H$14,IF(AND($B102&gt;$B$15,$B102&lt;$C$15),$H$15,IF(AND($B102&gt;$B$16,$B102&lt;$C$16),$H$16,IF(AND($B102&gt;$B$17,$B102&lt;$C$17),$H$17)))))))</f>
        <v>0</v>
      </c>
      <c r="K102" s="116">
        <f t="shared" si="26"/>
        <v>0</v>
      </c>
      <c r="L102" s="116">
        <f t="shared" si="27"/>
        <v>0</v>
      </c>
      <c r="M102" s="116">
        <f t="shared" si="28"/>
        <v>3.6901852022987227</v>
      </c>
      <c r="N102" s="116">
        <f t="shared" si="29"/>
        <v>42.47101802720984</v>
      </c>
    </row>
    <row r="103" spans="1:14" ht="12.75">
      <c r="A103" s="167">
        <f aca="true" t="shared" si="32" ref="A103:B138">+A102+1</f>
        <v>67</v>
      </c>
      <c r="B103" s="167">
        <f t="shared" si="32"/>
        <v>66.5</v>
      </c>
      <c r="C103" s="167">
        <v>1</v>
      </c>
      <c r="D103" s="27">
        <f t="shared" si="22"/>
        <v>120</v>
      </c>
      <c r="E103" s="168">
        <f t="shared" si="30"/>
        <v>4.826388888888896</v>
      </c>
      <c r="F103" s="117">
        <f t="shared" si="23"/>
        <v>3.8697388888888966</v>
      </c>
      <c r="G103" s="27">
        <f t="shared" si="24"/>
        <v>35</v>
      </c>
      <c r="H103" s="27">
        <f aca="true" t="shared" si="33" ref="H103:H144">IF(AND($B103&gt;$B$11,$B103&lt;$C$11),$F$11,IF(AND($B103&gt;$B$12,$B103&lt;$C$12),$F$12,IF(AND($B103&gt;$B$13,$B103&lt;$C$13),$F$13,IF(AND($B103&gt;$B$14,$B103&lt;$C$14),$F$14,IF(AND($B103&gt;$B$15,$B103&lt;$C$15),$F$15,IF(AND($B103&gt;$B$16,$B103&lt;$C$16),$F$16,IF(AND($B103&gt;$B$17,$B103&lt;$C$17),$F$17)))))))</f>
        <v>0</v>
      </c>
      <c r="I103" s="116">
        <f t="shared" si="25"/>
        <v>0</v>
      </c>
      <c r="J103" s="116">
        <f t="shared" si="31"/>
        <v>0</v>
      </c>
      <c r="K103" s="116">
        <f t="shared" si="26"/>
        <v>0</v>
      </c>
      <c r="L103" s="116">
        <f t="shared" si="27"/>
        <v>0</v>
      </c>
      <c r="M103" s="116">
        <f t="shared" si="28"/>
        <v>3.6901852022987227</v>
      </c>
      <c r="N103" s="116">
        <f t="shared" si="29"/>
        <v>42.84015955361312</v>
      </c>
    </row>
    <row r="104" spans="1:14" ht="12.75">
      <c r="A104" s="167">
        <f t="shared" si="32"/>
        <v>68</v>
      </c>
      <c r="B104" s="167">
        <f t="shared" si="32"/>
        <v>67.5</v>
      </c>
      <c r="C104" s="167">
        <v>1</v>
      </c>
      <c r="D104" s="27">
        <f t="shared" si="22"/>
        <v>120</v>
      </c>
      <c r="E104" s="168">
        <f t="shared" si="30"/>
        <v>4.895833333333341</v>
      </c>
      <c r="F104" s="117">
        <f t="shared" si="23"/>
        <v>3.903083333333341</v>
      </c>
      <c r="G104" s="27">
        <f t="shared" si="24"/>
        <v>35</v>
      </c>
      <c r="H104" s="27">
        <f t="shared" si="33"/>
        <v>0</v>
      </c>
      <c r="I104" s="116">
        <f t="shared" si="25"/>
        <v>0</v>
      </c>
      <c r="J104" s="116">
        <f t="shared" si="31"/>
        <v>0</v>
      </c>
      <c r="K104" s="116">
        <f t="shared" si="26"/>
        <v>0</v>
      </c>
      <c r="L104" s="116">
        <f t="shared" si="27"/>
        <v>0</v>
      </c>
      <c r="M104" s="116">
        <f t="shared" si="28"/>
        <v>3.6901852022987227</v>
      </c>
      <c r="N104" s="116">
        <f t="shared" si="29"/>
        <v>43.2093010800164</v>
      </c>
    </row>
    <row r="105" spans="1:14" ht="12.75">
      <c r="A105" s="167">
        <f t="shared" si="32"/>
        <v>69</v>
      </c>
      <c r="B105" s="167">
        <f t="shared" si="32"/>
        <v>68.5</v>
      </c>
      <c r="C105" s="167">
        <v>1</v>
      </c>
      <c r="D105" s="27">
        <f t="shared" si="22"/>
        <v>120</v>
      </c>
      <c r="E105" s="168">
        <f t="shared" si="30"/>
        <v>4.965277777777786</v>
      </c>
      <c r="F105" s="117">
        <f t="shared" si="23"/>
        <v>3.9364277777777854</v>
      </c>
      <c r="G105" s="27">
        <f t="shared" si="24"/>
        <v>35</v>
      </c>
      <c r="H105" s="27">
        <f t="shared" si="33"/>
        <v>0</v>
      </c>
      <c r="I105" s="116">
        <f t="shared" si="25"/>
        <v>0</v>
      </c>
      <c r="J105" s="116">
        <f t="shared" si="31"/>
        <v>0</v>
      </c>
      <c r="K105" s="116">
        <f t="shared" si="26"/>
        <v>0</v>
      </c>
      <c r="L105" s="116">
        <f t="shared" si="27"/>
        <v>0</v>
      </c>
      <c r="M105" s="116">
        <f t="shared" si="28"/>
        <v>3.6901852022987227</v>
      </c>
      <c r="N105" s="116">
        <f t="shared" si="29"/>
        <v>43.578442606419685</v>
      </c>
    </row>
    <row r="106" spans="1:14" ht="12.75">
      <c r="A106" s="167">
        <f t="shared" si="32"/>
        <v>70</v>
      </c>
      <c r="B106" s="167">
        <f t="shared" si="32"/>
        <v>69.5</v>
      </c>
      <c r="C106" s="167">
        <v>1</v>
      </c>
      <c r="D106" s="27">
        <f t="shared" si="22"/>
        <v>120</v>
      </c>
      <c r="E106" s="168">
        <f t="shared" si="30"/>
        <v>5.03472222222223</v>
      </c>
      <c r="F106" s="117">
        <f t="shared" si="23"/>
        <v>3.9697722222222303</v>
      </c>
      <c r="G106" s="27">
        <f t="shared" si="24"/>
        <v>35</v>
      </c>
      <c r="H106" s="27">
        <f t="shared" si="33"/>
        <v>0</v>
      </c>
      <c r="I106" s="116">
        <f t="shared" si="25"/>
        <v>0</v>
      </c>
      <c r="J106" s="116">
        <f t="shared" si="31"/>
        <v>0</v>
      </c>
      <c r="K106" s="116">
        <f t="shared" si="26"/>
        <v>0</v>
      </c>
      <c r="L106" s="116">
        <f t="shared" si="27"/>
        <v>0</v>
      </c>
      <c r="M106" s="116">
        <f t="shared" si="28"/>
        <v>3.6901852022987227</v>
      </c>
      <c r="N106" s="116">
        <f t="shared" si="29"/>
        <v>43.947584132822975</v>
      </c>
    </row>
    <row r="107" spans="1:14" ht="12.75">
      <c r="A107" s="167">
        <f t="shared" si="32"/>
        <v>71</v>
      </c>
      <c r="B107" s="167">
        <f t="shared" si="32"/>
        <v>70.5</v>
      </c>
      <c r="C107" s="167">
        <v>1</v>
      </c>
      <c r="D107" s="27">
        <f t="shared" si="22"/>
        <v>120</v>
      </c>
      <c r="E107" s="168">
        <f t="shared" si="30"/>
        <v>5.104166666666675</v>
      </c>
      <c r="F107" s="117">
        <f t="shared" si="23"/>
        <v>4.003116666666675</v>
      </c>
      <c r="G107" s="27">
        <f t="shared" si="24"/>
        <v>35</v>
      </c>
      <c r="H107" s="27">
        <f t="shared" si="33"/>
        <v>0</v>
      </c>
      <c r="I107" s="116">
        <f t="shared" si="25"/>
        <v>0</v>
      </c>
      <c r="J107" s="116">
        <f t="shared" si="31"/>
        <v>0</v>
      </c>
      <c r="K107" s="116">
        <f t="shared" si="26"/>
        <v>0</v>
      </c>
      <c r="L107" s="116">
        <f t="shared" si="27"/>
        <v>0</v>
      </c>
      <c r="M107" s="116">
        <f t="shared" si="28"/>
        <v>3.6901852022987227</v>
      </c>
      <c r="N107" s="116">
        <f t="shared" si="29"/>
        <v>44.316725659226265</v>
      </c>
    </row>
    <row r="108" spans="1:14" ht="12.75">
      <c r="A108" s="167">
        <f t="shared" si="32"/>
        <v>72</v>
      </c>
      <c r="B108" s="167">
        <f t="shared" si="32"/>
        <v>71.5</v>
      </c>
      <c r="C108" s="167">
        <v>1</v>
      </c>
      <c r="D108" s="27">
        <f t="shared" si="22"/>
        <v>120</v>
      </c>
      <c r="E108" s="168">
        <f t="shared" si="30"/>
        <v>5.17361111111112</v>
      </c>
      <c r="F108" s="117">
        <f t="shared" si="23"/>
        <v>4.0364611111111195</v>
      </c>
      <c r="G108" s="27">
        <f t="shared" si="24"/>
        <v>35</v>
      </c>
      <c r="H108" s="27">
        <f t="shared" si="33"/>
        <v>0</v>
      </c>
      <c r="I108" s="116">
        <f t="shared" si="25"/>
        <v>0</v>
      </c>
      <c r="J108" s="116">
        <f t="shared" si="31"/>
        <v>0</v>
      </c>
      <c r="K108" s="116">
        <f t="shared" si="26"/>
        <v>0</v>
      </c>
      <c r="L108" s="116">
        <f t="shared" si="27"/>
        <v>0</v>
      </c>
      <c r="M108" s="116">
        <f t="shared" si="28"/>
        <v>3.6901852022987227</v>
      </c>
      <c r="N108" s="116">
        <f t="shared" si="29"/>
        <v>44.68586718562954</v>
      </c>
    </row>
    <row r="109" spans="1:14" ht="12.75">
      <c r="A109" s="167">
        <f t="shared" si="32"/>
        <v>73</v>
      </c>
      <c r="B109" s="167">
        <f t="shared" si="32"/>
        <v>72.5</v>
      </c>
      <c r="C109" s="167">
        <v>1</v>
      </c>
      <c r="D109" s="27">
        <f t="shared" si="22"/>
        <v>120</v>
      </c>
      <c r="E109" s="168">
        <f t="shared" si="30"/>
        <v>5.243055555555564</v>
      </c>
      <c r="F109" s="117">
        <f t="shared" si="23"/>
        <v>4.069805555555565</v>
      </c>
      <c r="G109" s="27">
        <f t="shared" si="24"/>
        <v>35</v>
      </c>
      <c r="H109" s="27">
        <f t="shared" si="33"/>
        <v>0</v>
      </c>
      <c r="I109" s="116">
        <f t="shared" si="25"/>
        <v>0</v>
      </c>
      <c r="J109" s="116">
        <f t="shared" si="31"/>
        <v>0</v>
      </c>
      <c r="K109" s="116">
        <f t="shared" si="26"/>
        <v>0</v>
      </c>
      <c r="L109" s="116">
        <f t="shared" si="27"/>
        <v>0</v>
      </c>
      <c r="M109" s="116">
        <f t="shared" si="28"/>
        <v>3.6901852022987227</v>
      </c>
      <c r="N109" s="116">
        <f t="shared" si="29"/>
        <v>45.05500871203283</v>
      </c>
    </row>
    <row r="110" spans="1:14" ht="12.75">
      <c r="A110" s="167">
        <f t="shared" si="32"/>
        <v>74</v>
      </c>
      <c r="B110" s="167">
        <f t="shared" si="32"/>
        <v>73.5</v>
      </c>
      <c r="C110" s="167">
        <v>1</v>
      </c>
      <c r="D110" s="27">
        <f t="shared" si="22"/>
        <v>120</v>
      </c>
      <c r="E110" s="168">
        <f t="shared" si="30"/>
        <v>5.312500000000009</v>
      </c>
      <c r="F110" s="117">
        <f t="shared" si="23"/>
        <v>4.103150000000009</v>
      </c>
      <c r="G110" s="27">
        <f t="shared" si="24"/>
        <v>35</v>
      </c>
      <c r="H110" s="27">
        <f t="shared" si="33"/>
        <v>0</v>
      </c>
      <c r="I110" s="116">
        <f t="shared" si="25"/>
        <v>0</v>
      </c>
      <c r="J110" s="116">
        <f t="shared" si="31"/>
        <v>0</v>
      </c>
      <c r="K110" s="116">
        <f t="shared" si="26"/>
        <v>0</v>
      </c>
      <c r="L110" s="116">
        <f t="shared" si="27"/>
        <v>0</v>
      </c>
      <c r="M110" s="116">
        <f t="shared" si="28"/>
        <v>3.6901852022987227</v>
      </c>
      <c r="N110" s="116">
        <f t="shared" si="29"/>
        <v>45.42415023843611</v>
      </c>
    </row>
    <row r="111" spans="1:14" ht="12.75">
      <c r="A111" s="167">
        <f t="shared" si="32"/>
        <v>75</v>
      </c>
      <c r="B111" s="167">
        <f t="shared" si="32"/>
        <v>74.5</v>
      </c>
      <c r="C111" s="167">
        <v>1</v>
      </c>
      <c r="D111" s="27">
        <f t="shared" si="22"/>
        <v>120</v>
      </c>
      <c r="E111" s="168">
        <f t="shared" si="30"/>
        <v>5.3819444444444535</v>
      </c>
      <c r="F111" s="117">
        <f t="shared" si="23"/>
        <v>4.136494444444454</v>
      </c>
      <c r="G111" s="27">
        <f t="shared" si="24"/>
        <v>35</v>
      </c>
      <c r="H111" s="27">
        <f t="shared" si="33"/>
        <v>0</v>
      </c>
      <c r="I111" s="116">
        <f t="shared" si="25"/>
        <v>0</v>
      </c>
      <c r="J111" s="116">
        <f t="shared" si="31"/>
        <v>0</v>
      </c>
      <c r="K111" s="116">
        <f t="shared" si="26"/>
        <v>0</v>
      </c>
      <c r="L111" s="116">
        <f t="shared" si="27"/>
        <v>0</v>
      </c>
      <c r="M111" s="116">
        <f t="shared" si="28"/>
        <v>3.6901852022987227</v>
      </c>
      <c r="N111" s="116">
        <f t="shared" si="29"/>
        <v>45.793291764839395</v>
      </c>
    </row>
    <row r="112" spans="1:14" ht="12.75">
      <c r="A112" s="167">
        <f t="shared" si="32"/>
        <v>76</v>
      </c>
      <c r="B112" s="167">
        <f t="shared" si="32"/>
        <v>75.5</v>
      </c>
      <c r="C112" s="167">
        <v>1</v>
      </c>
      <c r="D112" s="27">
        <f t="shared" si="22"/>
        <v>120</v>
      </c>
      <c r="E112" s="168">
        <f t="shared" si="30"/>
        <v>5.451388888888898</v>
      </c>
      <c r="F112" s="117">
        <f t="shared" si="23"/>
        <v>4.169838888888898</v>
      </c>
      <c r="G112" s="27">
        <f t="shared" si="24"/>
        <v>35</v>
      </c>
      <c r="H112" s="27">
        <f t="shared" si="33"/>
        <v>0</v>
      </c>
      <c r="I112" s="116">
        <f t="shared" si="25"/>
        <v>0</v>
      </c>
      <c r="J112" s="116">
        <f t="shared" si="31"/>
        <v>0</v>
      </c>
      <c r="K112" s="116">
        <f t="shared" si="26"/>
        <v>0</v>
      </c>
      <c r="L112" s="116">
        <f t="shared" si="27"/>
        <v>0</v>
      </c>
      <c r="M112" s="116">
        <f t="shared" si="28"/>
        <v>3.6901852022987227</v>
      </c>
      <c r="N112" s="116">
        <f t="shared" si="29"/>
        <v>46.16243329124268</v>
      </c>
    </row>
    <row r="113" spans="1:14" ht="12.75">
      <c r="A113" s="167">
        <f t="shared" si="32"/>
        <v>77</v>
      </c>
      <c r="B113" s="167">
        <f t="shared" si="32"/>
        <v>76.5</v>
      </c>
      <c r="C113" s="167">
        <v>1</v>
      </c>
      <c r="D113" s="27">
        <f t="shared" si="22"/>
        <v>120</v>
      </c>
      <c r="E113" s="168">
        <f t="shared" si="30"/>
        <v>5.520833333333343</v>
      </c>
      <c r="F113" s="117">
        <f t="shared" si="23"/>
        <v>4.203183333333342</v>
      </c>
      <c r="G113" s="27">
        <f t="shared" si="24"/>
        <v>35</v>
      </c>
      <c r="H113" s="27">
        <f t="shared" si="33"/>
        <v>0</v>
      </c>
      <c r="I113" s="116">
        <f t="shared" si="25"/>
        <v>0</v>
      </c>
      <c r="J113" s="116">
        <f t="shared" si="31"/>
        <v>0</v>
      </c>
      <c r="K113" s="116">
        <f t="shared" si="26"/>
        <v>0</v>
      </c>
      <c r="L113" s="116">
        <f t="shared" si="27"/>
        <v>0</v>
      </c>
      <c r="M113" s="116">
        <f t="shared" si="28"/>
        <v>3.6901852022987227</v>
      </c>
      <c r="N113" s="116">
        <f t="shared" si="29"/>
        <v>46.53157481764596</v>
      </c>
    </row>
    <row r="114" spans="1:14" ht="12.75">
      <c r="A114" s="167">
        <f t="shared" si="32"/>
        <v>78</v>
      </c>
      <c r="B114" s="167">
        <f t="shared" si="32"/>
        <v>77.5</v>
      </c>
      <c r="C114" s="167">
        <v>1</v>
      </c>
      <c r="D114" s="27">
        <f t="shared" si="22"/>
        <v>120</v>
      </c>
      <c r="E114" s="168">
        <f t="shared" si="30"/>
        <v>5.5902777777777874</v>
      </c>
      <c r="F114" s="117">
        <f t="shared" si="23"/>
        <v>4.236527777777788</v>
      </c>
      <c r="G114" s="27">
        <f t="shared" si="24"/>
        <v>35</v>
      </c>
      <c r="H114" s="27">
        <f t="shared" si="33"/>
        <v>0</v>
      </c>
      <c r="I114" s="116">
        <f t="shared" si="25"/>
        <v>0</v>
      </c>
      <c r="J114" s="116">
        <f t="shared" si="31"/>
        <v>0</v>
      </c>
      <c r="K114" s="116">
        <f t="shared" si="26"/>
        <v>0</v>
      </c>
      <c r="L114" s="116">
        <f t="shared" si="27"/>
        <v>0</v>
      </c>
      <c r="M114" s="116">
        <f t="shared" si="28"/>
        <v>3.6901852022987227</v>
      </c>
      <c r="N114" s="116">
        <f t="shared" si="29"/>
        <v>46.90071634404925</v>
      </c>
    </row>
    <row r="115" spans="1:14" ht="12.75">
      <c r="A115" s="167">
        <f t="shared" si="32"/>
        <v>79</v>
      </c>
      <c r="B115" s="167">
        <f t="shared" si="32"/>
        <v>78.5</v>
      </c>
      <c r="C115" s="167">
        <v>1</v>
      </c>
      <c r="D115" s="27">
        <f t="shared" si="22"/>
        <v>120</v>
      </c>
      <c r="E115" s="168">
        <f t="shared" si="30"/>
        <v>5.659722222222232</v>
      </c>
      <c r="F115" s="117">
        <f t="shared" si="23"/>
        <v>4.269872222222232</v>
      </c>
      <c r="G115" s="27">
        <f t="shared" si="24"/>
        <v>35</v>
      </c>
      <c r="H115" s="27">
        <f t="shared" si="33"/>
        <v>0</v>
      </c>
      <c r="I115" s="116">
        <f t="shared" si="25"/>
        <v>0</v>
      </c>
      <c r="J115" s="116">
        <f t="shared" si="31"/>
        <v>0</v>
      </c>
      <c r="K115" s="116">
        <f t="shared" si="26"/>
        <v>0</v>
      </c>
      <c r="L115" s="116">
        <f t="shared" si="27"/>
        <v>0</v>
      </c>
      <c r="M115" s="116">
        <f t="shared" si="28"/>
        <v>3.6901852022987227</v>
      </c>
      <c r="N115" s="116">
        <f t="shared" si="29"/>
        <v>47.26985787045253</v>
      </c>
    </row>
    <row r="116" spans="1:14" ht="12.75">
      <c r="A116" s="167">
        <f t="shared" si="32"/>
        <v>80</v>
      </c>
      <c r="B116" s="167">
        <f t="shared" si="32"/>
        <v>79.5</v>
      </c>
      <c r="C116" s="167">
        <v>1</v>
      </c>
      <c r="D116" s="27">
        <f t="shared" si="22"/>
        <v>120</v>
      </c>
      <c r="E116" s="168">
        <f t="shared" si="30"/>
        <v>5.729166666666677</v>
      </c>
      <c r="F116" s="117">
        <f t="shared" si="23"/>
        <v>4.3032166666666765</v>
      </c>
      <c r="G116" s="27">
        <f t="shared" si="24"/>
        <v>35</v>
      </c>
      <c r="H116" s="27">
        <f t="shared" si="33"/>
        <v>0</v>
      </c>
      <c r="I116" s="116">
        <f t="shared" si="25"/>
        <v>0</v>
      </c>
      <c r="J116" s="116">
        <f t="shared" si="31"/>
        <v>0</v>
      </c>
      <c r="K116" s="116">
        <f t="shared" si="26"/>
        <v>0</v>
      </c>
      <c r="L116" s="116">
        <f t="shared" si="27"/>
        <v>0</v>
      </c>
      <c r="M116" s="116">
        <f t="shared" si="28"/>
        <v>3.6901852022987227</v>
      </c>
      <c r="N116" s="116">
        <f t="shared" si="29"/>
        <v>47.638999396855816</v>
      </c>
    </row>
    <row r="117" spans="1:14" ht="12.75">
      <c r="A117" s="167">
        <f t="shared" si="32"/>
        <v>81</v>
      </c>
      <c r="B117" s="167">
        <f t="shared" si="32"/>
        <v>80.5</v>
      </c>
      <c r="C117" s="167">
        <v>1</v>
      </c>
      <c r="D117" s="27">
        <f t="shared" si="22"/>
        <v>120</v>
      </c>
      <c r="E117" s="168">
        <f t="shared" si="30"/>
        <v>5.798611111111121</v>
      </c>
      <c r="F117" s="117">
        <f t="shared" si="23"/>
        <v>4.336561111111122</v>
      </c>
      <c r="G117" s="27">
        <f t="shared" si="24"/>
        <v>35</v>
      </c>
      <c r="H117" s="27">
        <f t="shared" si="33"/>
        <v>0</v>
      </c>
      <c r="I117" s="116">
        <f t="shared" si="25"/>
        <v>0</v>
      </c>
      <c r="J117" s="116">
        <f t="shared" si="31"/>
        <v>0</v>
      </c>
      <c r="K117" s="116">
        <f t="shared" si="26"/>
        <v>0</v>
      </c>
      <c r="L117" s="116">
        <f t="shared" si="27"/>
        <v>0</v>
      </c>
      <c r="M117" s="116">
        <f t="shared" si="28"/>
        <v>3.6901852022987227</v>
      </c>
      <c r="N117" s="116">
        <f t="shared" si="29"/>
        <v>48.008140923259106</v>
      </c>
    </row>
    <row r="118" spans="1:14" ht="12.75">
      <c r="A118" s="167">
        <f t="shared" si="32"/>
        <v>82</v>
      </c>
      <c r="B118" s="167">
        <f t="shared" si="32"/>
        <v>81.5</v>
      </c>
      <c r="C118" s="167">
        <v>1</v>
      </c>
      <c r="D118" s="27" t="b">
        <f t="shared" si="22"/>
        <v>0</v>
      </c>
      <c r="E118" s="168">
        <f t="shared" si="30"/>
        <v>5.833333333333344</v>
      </c>
      <c r="F118" s="117">
        <f t="shared" si="23"/>
        <v>4.335183333333344</v>
      </c>
      <c r="G118" s="27" t="b">
        <f t="shared" si="24"/>
        <v>0</v>
      </c>
      <c r="H118" s="27" t="b">
        <f t="shared" si="33"/>
        <v>0</v>
      </c>
      <c r="I118" s="116" t="b">
        <f t="shared" si="25"/>
        <v>0</v>
      </c>
      <c r="J118" s="116" t="b">
        <f t="shared" si="31"/>
        <v>0</v>
      </c>
      <c r="K118" s="116" t="b">
        <f t="shared" si="26"/>
        <v>0</v>
      </c>
      <c r="L118" s="116" t="b">
        <f t="shared" si="27"/>
        <v>0</v>
      </c>
      <c r="M118" s="116">
        <f t="shared" si="28"/>
        <v>1</v>
      </c>
      <c r="N118" s="116">
        <f t="shared" si="29"/>
        <v>13.005550000000031</v>
      </c>
    </row>
    <row r="119" spans="1:14" ht="12.75">
      <c r="A119" s="167">
        <f t="shared" si="32"/>
        <v>83</v>
      </c>
      <c r="B119" s="167">
        <f t="shared" si="32"/>
        <v>82.5</v>
      </c>
      <c r="C119" s="167">
        <v>1</v>
      </c>
      <c r="D119" s="27" t="b">
        <f t="shared" si="22"/>
        <v>0</v>
      </c>
      <c r="E119" s="168">
        <f t="shared" si="30"/>
        <v>5.833333333333344</v>
      </c>
      <c r="F119" s="117">
        <f t="shared" si="23"/>
        <v>4.299083333333344</v>
      </c>
      <c r="G119" s="27" t="b">
        <f t="shared" si="24"/>
        <v>0</v>
      </c>
      <c r="H119" s="27" t="b">
        <f t="shared" si="33"/>
        <v>0</v>
      </c>
      <c r="I119" s="116" t="b">
        <f t="shared" si="25"/>
        <v>0</v>
      </c>
      <c r="J119" s="116" t="b">
        <f t="shared" si="31"/>
        <v>0</v>
      </c>
      <c r="K119" s="116" t="b">
        <f t="shared" si="26"/>
        <v>0</v>
      </c>
      <c r="L119" s="116" t="b">
        <f t="shared" si="27"/>
        <v>0</v>
      </c>
      <c r="M119" s="116">
        <f t="shared" si="28"/>
        <v>1</v>
      </c>
      <c r="N119" s="116">
        <f t="shared" si="29"/>
        <v>12.897250000000032</v>
      </c>
    </row>
    <row r="120" spans="1:14" ht="12.75">
      <c r="A120" s="167">
        <f t="shared" si="32"/>
        <v>84</v>
      </c>
      <c r="B120" s="167">
        <f t="shared" si="32"/>
        <v>83.5</v>
      </c>
      <c r="C120" s="167">
        <v>1</v>
      </c>
      <c r="D120" s="27" t="b">
        <f t="shared" si="22"/>
        <v>0</v>
      </c>
      <c r="E120" s="168">
        <f t="shared" si="30"/>
        <v>5.833333333333344</v>
      </c>
      <c r="F120" s="117">
        <f t="shared" si="23"/>
        <v>4.262983333333343</v>
      </c>
      <c r="G120" s="27" t="b">
        <f t="shared" si="24"/>
        <v>0</v>
      </c>
      <c r="H120" s="27" t="b">
        <f t="shared" si="33"/>
        <v>0</v>
      </c>
      <c r="I120" s="116" t="b">
        <f t="shared" si="25"/>
        <v>0</v>
      </c>
      <c r="J120" s="116" t="b">
        <f t="shared" si="31"/>
        <v>0</v>
      </c>
      <c r="K120" s="116" t="b">
        <f t="shared" si="26"/>
        <v>0</v>
      </c>
      <c r="L120" s="116" t="b">
        <f t="shared" si="27"/>
        <v>0</v>
      </c>
      <c r="M120" s="116">
        <f t="shared" si="28"/>
        <v>1</v>
      </c>
      <c r="N120" s="116">
        <f t="shared" si="29"/>
        <v>12.78895000000003</v>
      </c>
    </row>
    <row r="121" spans="1:14" ht="12.75">
      <c r="A121" s="167">
        <f t="shared" si="32"/>
        <v>85</v>
      </c>
      <c r="B121" s="167">
        <f t="shared" si="32"/>
        <v>84.5</v>
      </c>
      <c r="C121" s="167">
        <v>1</v>
      </c>
      <c r="D121" s="27" t="b">
        <f t="shared" si="22"/>
        <v>0</v>
      </c>
      <c r="E121" s="168">
        <f t="shared" si="30"/>
        <v>5.833333333333344</v>
      </c>
      <c r="F121" s="117">
        <f t="shared" si="23"/>
        <v>4.226883333333344</v>
      </c>
      <c r="G121" s="27" t="b">
        <f t="shared" si="24"/>
        <v>0</v>
      </c>
      <c r="H121" s="27" t="b">
        <f t="shared" si="33"/>
        <v>0</v>
      </c>
      <c r="I121" s="116" t="b">
        <f t="shared" si="25"/>
        <v>0</v>
      </c>
      <c r="J121" s="116" t="b">
        <f t="shared" si="31"/>
        <v>0</v>
      </c>
      <c r="K121" s="116" t="b">
        <f t="shared" si="26"/>
        <v>0</v>
      </c>
      <c r="L121" s="116" t="b">
        <f t="shared" si="27"/>
        <v>0</v>
      </c>
      <c r="M121" s="116">
        <f t="shared" si="28"/>
        <v>1</v>
      </c>
      <c r="N121" s="116">
        <f t="shared" si="29"/>
        <v>12.680650000000032</v>
      </c>
    </row>
    <row r="122" spans="1:14" ht="12.75">
      <c r="A122" s="167">
        <f t="shared" si="32"/>
        <v>86</v>
      </c>
      <c r="B122" s="167">
        <f t="shared" si="32"/>
        <v>85.5</v>
      </c>
      <c r="C122" s="167">
        <v>1</v>
      </c>
      <c r="D122" s="27" t="b">
        <f t="shared" si="22"/>
        <v>0</v>
      </c>
      <c r="E122" s="168">
        <f t="shared" si="30"/>
        <v>5.833333333333344</v>
      </c>
      <c r="F122" s="117">
        <f t="shared" si="23"/>
        <v>4.190783333333344</v>
      </c>
      <c r="G122" s="27" t="b">
        <f t="shared" si="24"/>
        <v>0</v>
      </c>
      <c r="H122" s="27" t="b">
        <f t="shared" si="33"/>
        <v>0</v>
      </c>
      <c r="I122" s="116" t="b">
        <f t="shared" si="25"/>
        <v>0</v>
      </c>
      <c r="J122" s="116" t="b">
        <f t="shared" si="31"/>
        <v>0</v>
      </c>
      <c r="K122" s="116" t="b">
        <f t="shared" si="26"/>
        <v>0</v>
      </c>
      <c r="L122" s="116" t="b">
        <f t="shared" si="27"/>
        <v>0</v>
      </c>
      <c r="M122" s="116">
        <f t="shared" si="28"/>
        <v>1</v>
      </c>
      <c r="N122" s="116">
        <f t="shared" si="29"/>
        <v>12.572350000000032</v>
      </c>
    </row>
    <row r="123" spans="1:14" ht="12.75">
      <c r="A123" s="167">
        <f t="shared" si="32"/>
        <v>87</v>
      </c>
      <c r="B123" s="167">
        <f t="shared" si="32"/>
        <v>86.5</v>
      </c>
      <c r="C123" s="167">
        <v>1</v>
      </c>
      <c r="D123" s="27" t="b">
        <f t="shared" si="22"/>
        <v>0</v>
      </c>
      <c r="E123" s="168">
        <f t="shared" si="30"/>
        <v>5.833333333333344</v>
      </c>
      <c r="F123" s="117">
        <f t="shared" si="23"/>
        <v>4.1546833333333435</v>
      </c>
      <c r="G123" s="27" t="b">
        <f t="shared" si="24"/>
        <v>0</v>
      </c>
      <c r="H123" s="27" t="b">
        <f t="shared" si="33"/>
        <v>0</v>
      </c>
      <c r="I123" s="116" t="b">
        <f t="shared" si="25"/>
        <v>0</v>
      </c>
      <c r="J123" s="116" t="b">
        <f t="shared" si="31"/>
        <v>0</v>
      </c>
      <c r="K123" s="116" t="b">
        <f t="shared" si="26"/>
        <v>0</v>
      </c>
      <c r="L123" s="116" t="b">
        <f t="shared" si="27"/>
        <v>0</v>
      </c>
      <c r="M123" s="116">
        <f t="shared" si="28"/>
        <v>1</v>
      </c>
      <c r="N123" s="116">
        <f t="shared" si="29"/>
        <v>12.46405000000003</v>
      </c>
    </row>
    <row r="124" spans="1:14" ht="12.75">
      <c r="A124" s="167">
        <f t="shared" si="32"/>
        <v>88</v>
      </c>
      <c r="B124" s="167">
        <f t="shared" si="32"/>
        <v>87.5</v>
      </c>
      <c r="C124" s="167">
        <v>1</v>
      </c>
      <c r="D124" s="27" t="b">
        <f t="shared" si="22"/>
        <v>0</v>
      </c>
      <c r="E124" s="168">
        <f t="shared" si="30"/>
        <v>5.833333333333344</v>
      </c>
      <c r="F124" s="117">
        <f t="shared" si="23"/>
        <v>4.118583333333344</v>
      </c>
      <c r="G124" s="27" t="b">
        <f t="shared" si="24"/>
        <v>0</v>
      </c>
      <c r="H124" s="27" t="b">
        <f t="shared" si="33"/>
        <v>0</v>
      </c>
      <c r="I124" s="116" t="b">
        <f t="shared" si="25"/>
        <v>0</v>
      </c>
      <c r="J124" s="116" t="b">
        <f t="shared" si="31"/>
        <v>0</v>
      </c>
      <c r="K124" s="116" t="b">
        <f t="shared" si="26"/>
        <v>0</v>
      </c>
      <c r="L124" s="116" t="b">
        <f t="shared" si="27"/>
        <v>0</v>
      </c>
      <c r="M124" s="116">
        <f t="shared" si="28"/>
        <v>1</v>
      </c>
      <c r="N124" s="116">
        <f t="shared" si="29"/>
        <v>12.355750000000032</v>
      </c>
    </row>
    <row r="125" spans="1:14" ht="12.75">
      <c r="A125" s="167">
        <f t="shared" si="32"/>
        <v>89</v>
      </c>
      <c r="B125" s="167">
        <f t="shared" si="32"/>
        <v>88.5</v>
      </c>
      <c r="C125" s="167">
        <v>1</v>
      </c>
      <c r="D125" s="27" t="b">
        <f t="shared" si="22"/>
        <v>0</v>
      </c>
      <c r="E125" s="168">
        <f t="shared" si="30"/>
        <v>5.833333333333344</v>
      </c>
      <c r="F125" s="117">
        <f t="shared" si="23"/>
        <v>4.082483333333344</v>
      </c>
      <c r="G125" s="27" t="b">
        <f t="shared" si="24"/>
        <v>0</v>
      </c>
      <c r="H125" s="27" t="b">
        <f t="shared" si="33"/>
        <v>0</v>
      </c>
      <c r="I125" s="116" t="b">
        <f t="shared" si="25"/>
        <v>0</v>
      </c>
      <c r="J125" s="116" t="b">
        <f t="shared" si="31"/>
        <v>0</v>
      </c>
      <c r="K125" s="116" t="b">
        <f t="shared" si="26"/>
        <v>0</v>
      </c>
      <c r="L125" s="116" t="b">
        <f t="shared" si="27"/>
        <v>0</v>
      </c>
      <c r="M125" s="116">
        <f t="shared" si="28"/>
        <v>1</v>
      </c>
      <c r="N125" s="116">
        <f t="shared" si="29"/>
        <v>12.247450000000033</v>
      </c>
    </row>
    <row r="126" spans="1:14" ht="12.75">
      <c r="A126" s="167">
        <f t="shared" si="32"/>
        <v>90</v>
      </c>
      <c r="B126" s="167">
        <f t="shared" si="32"/>
        <v>89.5</v>
      </c>
      <c r="C126" s="167">
        <v>1</v>
      </c>
      <c r="D126" s="27" t="b">
        <f t="shared" si="22"/>
        <v>0</v>
      </c>
      <c r="E126" s="168">
        <f t="shared" si="30"/>
        <v>5.833333333333344</v>
      </c>
      <c r="F126" s="117">
        <f t="shared" si="23"/>
        <v>4.046383333333344</v>
      </c>
      <c r="G126" s="27" t="b">
        <f t="shared" si="24"/>
        <v>0</v>
      </c>
      <c r="H126" s="27" t="b">
        <f t="shared" si="33"/>
        <v>0</v>
      </c>
      <c r="I126" s="116" t="b">
        <f t="shared" si="25"/>
        <v>0</v>
      </c>
      <c r="J126" s="116" t="b">
        <f t="shared" si="31"/>
        <v>0</v>
      </c>
      <c r="K126" s="116" t="b">
        <f t="shared" si="26"/>
        <v>0</v>
      </c>
      <c r="L126" s="116" t="b">
        <f t="shared" si="27"/>
        <v>0</v>
      </c>
      <c r="M126" s="116">
        <f t="shared" si="28"/>
        <v>1</v>
      </c>
      <c r="N126" s="116">
        <f t="shared" si="29"/>
        <v>12.139150000000031</v>
      </c>
    </row>
    <row r="127" spans="1:14" ht="12.75">
      <c r="A127" s="167">
        <f t="shared" si="32"/>
        <v>91</v>
      </c>
      <c r="B127" s="167">
        <f t="shared" si="32"/>
        <v>90.5</v>
      </c>
      <c r="C127" s="167">
        <v>1</v>
      </c>
      <c r="D127" s="27" t="b">
        <f t="shared" si="22"/>
        <v>0</v>
      </c>
      <c r="E127" s="168">
        <f t="shared" si="30"/>
        <v>5.833333333333344</v>
      </c>
      <c r="F127" s="117">
        <f t="shared" si="23"/>
        <v>4.010283333333343</v>
      </c>
      <c r="G127" s="27" t="b">
        <f t="shared" si="24"/>
        <v>0</v>
      </c>
      <c r="H127" s="27" t="b">
        <f t="shared" si="33"/>
        <v>0</v>
      </c>
      <c r="I127" s="116" t="b">
        <f t="shared" si="25"/>
        <v>0</v>
      </c>
      <c r="J127" s="116" t="b">
        <f t="shared" si="31"/>
        <v>0</v>
      </c>
      <c r="K127" s="116" t="b">
        <f t="shared" si="26"/>
        <v>0</v>
      </c>
      <c r="L127" s="116" t="b">
        <f t="shared" si="27"/>
        <v>0</v>
      </c>
      <c r="M127" s="116">
        <f t="shared" si="28"/>
        <v>1</v>
      </c>
      <c r="N127" s="116">
        <f t="shared" si="29"/>
        <v>12.03085000000003</v>
      </c>
    </row>
    <row r="128" spans="1:14" ht="12.75">
      <c r="A128" s="167">
        <f t="shared" si="32"/>
        <v>92</v>
      </c>
      <c r="B128" s="167">
        <f t="shared" si="32"/>
        <v>91.5</v>
      </c>
      <c r="C128" s="167">
        <v>1</v>
      </c>
      <c r="D128" s="27" t="b">
        <f t="shared" si="22"/>
        <v>0</v>
      </c>
      <c r="E128" s="168">
        <f t="shared" si="30"/>
        <v>5.833333333333344</v>
      </c>
      <c r="F128" s="117">
        <f t="shared" si="23"/>
        <v>3.9741833333333436</v>
      </c>
      <c r="G128" s="27" t="b">
        <f t="shared" si="24"/>
        <v>0</v>
      </c>
      <c r="H128" s="27" t="b">
        <f t="shared" si="33"/>
        <v>0</v>
      </c>
      <c r="I128" s="116" t="b">
        <f t="shared" si="25"/>
        <v>0</v>
      </c>
      <c r="J128" s="116" t="b">
        <f t="shared" si="31"/>
        <v>0</v>
      </c>
      <c r="K128" s="116" t="b">
        <f t="shared" si="26"/>
        <v>0</v>
      </c>
      <c r="L128" s="116" t="b">
        <f t="shared" si="27"/>
        <v>0</v>
      </c>
      <c r="M128" s="116">
        <f t="shared" si="28"/>
        <v>1</v>
      </c>
      <c r="N128" s="116">
        <f t="shared" si="29"/>
        <v>11.922550000000031</v>
      </c>
    </row>
    <row r="129" spans="1:14" ht="12.75">
      <c r="A129" s="167">
        <f t="shared" si="32"/>
        <v>93</v>
      </c>
      <c r="B129" s="167">
        <f t="shared" si="32"/>
        <v>92.5</v>
      </c>
      <c r="C129" s="167">
        <v>1</v>
      </c>
      <c r="D129" s="27" t="b">
        <f t="shared" si="22"/>
        <v>0</v>
      </c>
      <c r="E129" s="168">
        <f t="shared" si="30"/>
        <v>5.833333333333344</v>
      </c>
      <c r="F129" s="117">
        <f t="shared" si="23"/>
        <v>3.938083333333344</v>
      </c>
      <c r="G129" s="27" t="b">
        <f t="shared" si="24"/>
        <v>0</v>
      </c>
      <c r="H129" s="27" t="b">
        <f t="shared" si="33"/>
        <v>0</v>
      </c>
      <c r="I129" s="116" t="b">
        <f t="shared" si="25"/>
        <v>0</v>
      </c>
      <c r="J129" s="116" t="b">
        <f t="shared" si="31"/>
        <v>0</v>
      </c>
      <c r="K129" s="116" t="b">
        <f t="shared" si="26"/>
        <v>0</v>
      </c>
      <c r="L129" s="116" t="b">
        <f t="shared" si="27"/>
        <v>0</v>
      </c>
      <c r="M129" s="116">
        <f t="shared" si="28"/>
        <v>1</v>
      </c>
      <c r="N129" s="116">
        <f t="shared" si="29"/>
        <v>11.814250000000031</v>
      </c>
    </row>
    <row r="130" spans="1:14" ht="12.75">
      <c r="A130" s="167">
        <f t="shared" si="32"/>
        <v>94</v>
      </c>
      <c r="B130" s="167">
        <f t="shared" si="32"/>
        <v>93.5</v>
      </c>
      <c r="C130" s="167">
        <v>1</v>
      </c>
      <c r="D130" s="27" t="b">
        <f t="shared" si="22"/>
        <v>0</v>
      </c>
      <c r="E130" s="168">
        <f t="shared" si="30"/>
        <v>5.833333333333344</v>
      </c>
      <c r="F130" s="117">
        <f t="shared" si="23"/>
        <v>3.9019833333333436</v>
      </c>
      <c r="G130" s="27" t="b">
        <f t="shared" si="24"/>
        <v>0</v>
      </c>
      <c r="H130" s="27" t="b">
        <f t="shared" si="33"/>
        <v>0</v>
      </c>
      <c r="I130" s="116" t="b">
        <f t="shared" si="25"/>
        <v>0</v>
      </c>
      <c r="J130" s="116" t="b">
        <f t="shared" si="31"/>
        <v>0</v>
      </c>
      <c r="K130" s="116" t="b">
        <f t="shared" si="26"/>
        <v>0</v>
      </c>
      <c r="L130" s="116" t="b">
        <f t="shared" si="27"/>
        <v>0</v>
      </c>
      <c r="M130" s="116">
        <f t="shared" si="28"/>
        <v>1</v>
      </c>
      <c r="N130" s="116">
        <f t="shared" si="29"/>
        <v>11.70595000000003</v>
      </c>
    </row>
    <row r="131" spans="1:14" ht="12.75">
      <c r="A131" s="167">
        <f t="shared" si="32"/>
        <v>95</v>
      </c>
      <c r="B131" s="167">
        <f t="shared" si="32"/>
        <v>94.5</v>
      </c>
      <c r="C131" s="167">
        <v>1</v>
      </c>
      <c r="D131" s="27" t="b">
        <f t="shared" si="22"/>
        <v>0</v>
      </c>
      <c r="E131" s="168">
        <f t="shared" si="30"/>
        <v>5.833333333333344</v>
      </c>
      <c r="F131" s="117">
        <f t="shared" si="23"/>
        <v>3.8658833333333438</v>
      </c>
      <c r="G131" s="27" t="b">
        <f t="shared" si="24"/>
        <v>0</v>
      </c>
      <c r="H131" s="27" t="b">
        <f t="shared" si="33"/>
        <v>0</v>
      </c>
      <c r="I131" s="116" t="b">
        <f t="shared" si="25"/>
        <v>0</v>
      </c>
      <c r="J131" s="116" t="b">
        <f t="shared" si="31"/>
        <v>0</v>
      </c>
      <c r="K131" s="116" t="b">
        <f t="shared" si="26"/>
        <v>0</v>
      </c>
      <c r="L131" s="116" t="b">
        <f t="shared" si="27"/>
        <v>0</v>
      </c>
      <c r="M131" s="116">
        <f t="shared" si="28"/>
        <v>1</v>
      </c>
      <c r="N131" s="116">
        <f t="shared" si="29"/>
        <v>11.597650000000032</v>
      </c>
    </row>
    <row r="132" spans="1:14" ht="12.75">
      <c r="A132" s="167">
        <f t="shared" si="32"/>
        <v>96</v>
      </c>
      <c r="B132" s="167">
        <f t="shared" si="32"/>
        <v>95.5</v>
      </c>
      <c r="C132" s="167">
        <v>1</v>
      </c>
      <c r="D132" s="27" t="b">
        <f t="shared" si="22"/>
        <v>0</v>
      </c>
      <c r="E132" s="168">
        <f t="shared" si="30"/>
        <v>5.833333333333344</v>
      </c>
      <c r="F132" s="117">
        <f t="shared" si="23"/>
        <v>3.8297833333333435</v>
      </c>
      <c r="G132" s="27" t="b">
        <f t="shared" si="24"/>
        <v>0</v>
      </c>
      <c r="H132" s="27" t="b">
        <f t="shared" si="33"/>
        <v>0</v>
      </c>
      <c r="I132" s="116" t="b">
        <f t="shared" si="25"/>
        <v>0</v>
      </c>
      <c r="J132" s="116" t="b">
        <f t="shared" si="31"/>
        <v>0</v>
      </c>
      <c r="K132" s="116" t="b">
        <f t="shared" si="26"/>
        <v>0</v>
      </c>
      <c r="L132" s="116" t="b">
        <f t="shared" si="27"/>
        <v>0</v>
      </c>
      <c r="M132" s="116">
        <f t="shared" si="28"/>
        <v>1</v>
      </c>
      <c r="N132" s="116">
        <f t="shared" si="29"/>
        <v>11.48935000000003</v>
      </c>
    </row>
    <row r="133" spans="1:14" ht="12.75">
      <c r="A133" s="167">
        <f t="shared" si="32"/>
        <v>97</v>
      </c>
      <c r="B133" s="167">
        <f t="shared" si="32"/>
        <v>96.5</v>
      </c>
      <c r="C133" s="167">
        <v>1</v>
      </c>
      <c r="D133" s="27" t="b">
        <f aca="true" t="shared" si="34" ref="D133:D144">IF(AND($B133&gt;$B$11,$B133&lt;$C$11),$D$11,IF(AND($B133&gt;$B$12,$B133&lt;$C$12),$D$12,IF(AND($B133&gt;$B$13,$B133&lt;$C$13),$D$13,IF(AND($B133&gt;$B$14,$B133&lt;$C$14),$D$14,IF(AND($B133&gt;$B$15,$B133&lt;$C$15),$D$15,IF(AND($B133&gt;$B$16,$B133&lt;$C$16),$D$16,IF(AND($B133&gt;$B$17,$B133&lt;$C$17),$D$17)))))))</f>
        <v>0</v>
      </c>
      <c r="E133" s="168">
        <f t="shared" si="30"/>
        <v>5.833333333333344</v>
      </c>
      <c r="F133" s="117">
        <f aca="true" t="shared" si="35" ref="F133:F144">IF(B133&lt;$E$25,E133,E133-0.0361*(B133-$E$25))</f>
        <v>3.7936833333333437</v>
      </c>
      <c r="G133" s="27" t="b">
        <f aca="true" t="shared" si="36" ref="G133:G144">IF(AND($B133&gt;$B$11,$B133&lt;$C$11),$E$11,IF(AND($B133&gt;$B$12,$B133&lt;$C$12),$E$12,IF(AND($B133&gt;$B$13,$B133&lt;$C$13),$E$13,IF(AND($B133&gt;$B$14,$B133&lt;$C$14),$E$14,IF(AND($B133&gt;$B$15,$B133&lt;$C$15),$E$15,IF(AND($B133&gt;$B$16,$B133&lt;$C$16),$E$16,IF(AND($B133&gt;$B$17,$B133&lt;$C$17),$E$17)))))))</f>
        <v>0</v>
      </c>
      <c r="H133" s="27" t="b">
        <f t="shared" si="33"/>
        <v>0</v>
      </c>
      <c r="I133" s="116" t="b">
        <f aca="true" t="shared" si="37" ref="I133:I144">IF(AND($B133&gt;$B$11,$B133&lt;$C$11),$G$11,IF(AND($B133&gt;$B$12,$B133&lt;$C$12),$G$12,IF(AND($B133&gt;$B$13,$B133&lt;$C$13),$G$13,IF(AND($B133&gt;$B$14,$B133&lt;$C$14),$G$14,IF(AND($B133&gt;$B$15,$B133&lt;$C$15),$G$15,IF(AND($B133&gt;$B$16,$B133&lt;$C$16),$G$16,IF(AND($B133&gt;$B$17,$B133&lt;$C$17),$G$17)))))))</f>
        <v>0</v>
      </c>
      <c r="J133" s="116" t="b">
        <f t="shared" si="31"/>
        <v>0</v>
      </c>
      <c r="K133" s="116" t="b">
        <f aca="true" t="shared" si="38" ref="K133:K144">IF($B133&gt;4*$E$26,H133,H133*(1/3+$B133/(2*$E$26)/3))</f>
        <v>0</v>
      </c>
      <c r="L133" s="116" t="b">
        <f aca="true" t="shared" si="39" ref="L133:L144">IF($B133&gt;4*$E$26,I133,I133*(1/3+$B133/(2*$E$26)/3))</f>
        <v>0</v>
      </c>
      <c r="M133" s="116">
        <f aca="true" t="shared" si="40" ref="M133:M144">IF(G133&lt;0.5,0,(1+SIN(G133*3.1416/180))/(1-SIN(G133*3.1416/180)))</f>
        <v>1</v>
      </c>
      <c r="N133" s="116">
        <f aca="true" t="shared" si="41" ref="N133:N144">IF($E$27=1,3*($F133*$M133+2*$K133*$M133^0.5),IF($E$27=2,9*$L133,IF($E$27=3,$J133,0)))</f>
        <v>11.38105000000003</v>
      </c>
    </row>
    <row r="134" spans="1:14" ht="12.75">
      <c r="A134" s="167">
        <f t="shared" si="32"/>
        <v>98</v>
      </c>
      <c r="B134" s="167">
        <f t="shared" si="32"/>
        <v>97.5</v>
      </c>
      <c r="C134" s="167">
        <v>1</v>
      </c>
      <c r="D134" s="27" t="b">
        <f t="shared" si="34"/>
        <v>0</v>
      </c>
      <c r="E134" s="168">
        <f aca="true" t="shared" si="42" ref="E134:E144">+E133+(D133+D134)/2/1728</f>
        <v>5.833333333333344</v>
      </c>
      <c r="F134" s="117">
        <f t="shared" si="35"/>
        <v>3.7575833333333435</v>
      </c>
      <c r="G134" s="27" t="b">
        <f t="shared" si="36"/>
        <v>0</v>
      </c>
      <c r="H134" s="27" t="b">
        <f t="shared" si="33"/>
        <v>0</v>
      </c>
      <c r="I134" s="116" t="b">
        <f t="shared" si="37"/>
        <v>0</v>
      </c>
      <c r="J134" s="116" t="b">
        <f t="shared" si="31"/>
        <v>0</v>
      </c>
      <c r="K134" s="116" t="b">
        <f t="shared" si="38"/>
        <v>0</v>
      </c>
      <c r="L134" s="116" t="b">
        <f t="shared" si="39"/>
        <v>0</v>
      </c>
      <c r="M134" s="116">
        <f t="shared" si="40"/>
        <v>1</v>
      </c>
      <c r="N134" s="116">
        <f t="shared" si="41"/>
        <v>11.27275000000003</v>
      </c>
    </row>
    <row r="135" spans="1:14" ht="12.75">
      <c r="A135" s="167">
        <f t="shared" si="32"/>
        <v>99</v>
      </c>
      <c r="B135" s="167">
        <f t="shared" si="32"/>
        <v>98.5</v>
      </c>
      <c r="C135" s="167">
        <v>1</v>
      </c>
      <c r="D135" s="27" t="b">
        <f t="shared" si="34"/>
        <v>0</v>
      </c>
      <c r="E135" s="168">
        <f t="shared" si="42"/>
        <v>5.833333333333344</v>
      </c>
      <c r="F135" s="117">
        <f t="shared" si="35"/>
        <v>3.7214833333333437</v>
      </c>
      <c r="G135" s="27" t="b">
        <f t="shared" si="36"/>
        <v>0</v>
      </c>
      <c r="H135" s="27" t="b">
        <f t="shared" si="33"/>
        <v>0</v>
      </c>
      <c r="I135" s="116" t="b">
        <f t="shared" si="37"/>
        <v>0</v>
      </c>
      <c r="J135" s="116" t="b">
        <f t="shared" si="31"/>
        <v>0</v>
      </c>
      <c r="K135" s="116" t="b">
        <f t="shared" si="38"/>
        <v>0</v>
      </c>
      <c r="L135" s="116" t="b">
        <f t="shared" si="39"/>
        <v>0</v>
      </c>
      <c r="M135" s="116">
        <f t="shared" si="40"/>
        <v>1</v>
      </c>
      <c r="N135" s="116">
        <f t="shared" si="41"/>
        <v>11.16445000000003</v>
      </c>
    </row>
    <row r="136" spans="1:14" ht="12.75">
      <c r="A136" s="167">
        <f t="shared" si="32"/>
        <v>100</v>
      </c>
      <c r="B136" s="167">
        <f t="shared" si="32"/>
        <v>99.5</v>
      </c>
      <c r="C136" s="167">
        <v>1</v>
      </c>
      <c r="D136" s="27" t="b">
        <f t="shared" si="34"/>
        <v>0</v>
      </c>
      <c r="E136" s="168">
        <f t="shared" si="42"/>
        <v>5.833333333333344</v>
      </c>
      <c r="F136" s="117">
        <f t="shared" si="35"/>
        <v>3.685383333333344</v>
      </c>
      <c r="G136" s="27" t="b">
        <f t="shared" si="36"/>
        <v>0</v>
      </c>
      <c r="H136" s="27" t="b">
        <f t="shared" si="33"/>
        <v>0</v>
      </c>
      <c r="I136" s="116" t="b">
        <f t="shared" si="37"/>
        <v>0</v>
      </c>
      <c r="J136" s="116" t="b">
        <f t="shared" si="31"/>
        <v>0</v>
      </c>
      <c r="K136" s="116" t="b">
        <f t="shared" si="38"/>
        <v>0</v>
      </c>
      <c r="L136" s="116" t="b">
        <f t="shared" si="39"/>
        <v>0</v>
      </c>
      <c r="M136" s="116">
        <f t="shared" si="40"/>
        <v>1</v>
      </c>
      <c r="N136" s="116">
        <f t="shared" si="41"/>
        <v>11.05615000000003</v>
      </c>
    </row>
    <row r="137" spans="1:14" ht="12.75">
      <c r="A137" s="167">
        <f t="shared" si="32"/>
        <v>101</v>
      </c>
      <c r="B137" s="167">
        <f t="shared" si="32"/>
        <v>100.5</v>
      </c>
      <c r="C137" s="167">
        <v>1</v>
      </c>
      <c r="D137" s="27" t="b">
        <f t="shared" si="34"/>
        <v>0</v>
      </c>
      <c r="E137" s="168">
        <f t="shared" si="42"/>
        <v>5.833333333333344</v>
      </c>
      <c r="F137" s="117">
        <f t="shared" si="35"/>
        <v>3.6492833333333436</v>
      </c>
      <c r="G137" s="27" t="b">
        <f t="shared" si="36"/>
        <v>0</v>
      </c>
      <c r="H137" s="27" t="b">
        <f t="shared" si="33"/>
        <v>0</v>
      </c>
      <c r="I137" s="116" t="b">
        <f t="shared" si="37"/>
        <v>0</v>
      </c>
      <c r="J137" s="116" t="b">
        <f t="shared" si="31"/>
        <v>0</v>
      </c>
      <c r="K137" s="116" t="b">
        <f t="shared" si="38"/>
        <v>0</v>
      </c>
      <c r="L137" s="116" t="b">
        <f t="shared" si="39"/>
        <v>0</v>
      </c>
      <c r="M137" s="116">
        <f t="shared" si="40"/>
        <v>1</v>
      </c>
      <c r="N137" s="116">
        <f t="shared" si="41"/>
        <v>10.947850000000031</v>
      </c>
    </row>
    <row r="138" spans="1:14" ht="12.75">
      <c r="A138" s="167">
        <f t="shared" si="32"/>
        <v>102</v>
      </c>
      <c r="B138" s="167">
        <f t="shared" si="32"/>
        <v>101.5</v>
      </c>
      <c r="C138" s="167">
        <v>1</v>
      </c>
      <c r="D138" s="27" t="b">
        <f t="shared" si="34"/>
        <v>0</v>
      </c>
      <c r="E138" s="168">
        <f t="shared" si="42"/>
        <v>5.833333333333344</v>
      </c>
      <c r="F138" s="117">
        <f t="shared" si="35"/>
        <v>3.613183333333344</v>
      </c>
      <c r="G138" s="27" t="b">
        <f t="shared" si="36"/>
        <v>0</v>
      </c>
      <c r="H138" s="27" t="b">
        <f t="shared" si="33"/>
        <v>0</v>
      </c>
      <c r="I138" s="116" t="b">
        <f t="shared" si="37"/>
        <v>0</v>
      </c>
      <c r="J138" s="116" t="b">
        <f t="shared" si="31"/>
        <v>0</v>
      </c>
      <c r="K138" s="116" t="b">
        <f t="shared" si="38"/>
        <v>0</v>
      </c>
      <c r="L138" s="116" t="b">
        <f t="shared" si="39"/>
        <v>0</v>
      </c>
      <c r="M138" s="116">
        <f t="shared" si="40"/>
        <v>1</v>
      </c>
      <c r="N138" s="116">
        <f t="shared" si="41"/>
        <v>10.839550000000031</v>
      </c>
    </row>
    <row r="139" spans="1:14" ht="12.75">
      <c r="A139" s="167">
        <f aca="true" t="shared" si="43" ref="A139:B144">+A138+1</f>
        <v>103</v>
      </c>
      <c r="B139" s="167">
        <f t="shared" si="43"/>
        <v>102.5</v>
      </c>
      <c r="C139" s="167">
        <v>2</v>
      </c>
      <c r="D139" s="27" t="b">
        <f t="shared" si="34"/>
        <v>0</v>
      </c>
      <c r="E139" s="168">
        <f t="shared" si="42"/>
        <v>5.833333333333344</v>
      </c>
      <c r="F139" s="117">
        <f t="shared" si="35"/>
        <v>3.5770833333333436</v>
      </c>
      <c r="G139" s="27" t="b">
        <f t="shared" si="36"/>
        <v>0</v>
      </c>
      <c r="H139" s="27" t="b">
        <f t="shared" si="33"/>
        <v>0</v>
      </c>
      <c r="I139" s="116" t="b">
        <f t="shared" si="37"/>
        <v>0</v>
      </c>
      <c r="J139" s="116" t="b">
        <f t="shared" si="31"/>
        <v>0</v>
      </c>
      <c r="K139" s="116" t="b">
        <f t="shared" si="38"/>
        <v>0</v>
      </c>
      <c r="L139" s="116" t="b">
        <f t="shared" si="39"/>
        <v>0</v>
      </c>
      <c r="M139" s="116">
        <f t="shared" si="40"/>
        <v>1</v>
      </c>
      <c r="N139" s="116">
        <f t="shared" si="41"/>
        <v>10.731250000000031</v>
      </c>
    </row>
    <row r="140" spans="1:14" ht="12.75">
      <c r="A140" s="167">
        <f t="shared" si="43"/>
        <v>104</v>
      </c>
      <c r="B140" s="167">
        <f t="shared" si="43"/>
        <v>103.5</v>
      </c>
      <c r="C140" s="167">
        <v>3</v>
      </c>
      <c r="D140" s="27" t="b">
        <f t="shared" si="34"/>
        <v>0</v>
      </c>
      <c r="E140" s="168">
        <f t="shared" si="42"/>
        <v>5.833333333333344</v>
      </c>
      <c r="F140" s="117">
        <f t="shared" si="35"/>
        <v>3.540983333333344</v>
      </c>
      <c r="G140" s="27" t="b">
        <f t="shared" si="36"/>
        <v>0</v>
      </c>
      <c r="H140" s="27" t="b">
        <f t="shared" si="33"/>
        <v>0</v>
      </c>
      <c r="I140" s="116" t="b">
        <f t="shared" si="37"/>
        <v>0</v>
      </c>
      <c r="J140" s="116" t="b">
        <f t="shared" si="31"/>
        <v>0</v>
      </c>
      <c r="K140" s="116" t="b">
        <f t="shared" si="38"/>
        <v>0</v>
      </c>
      <c r="L140" s="116" t="b">
        <f t="shared" si="39"/>
        <v>0</v>
      </c>
      <c r="M140" s="116">
        <f t="shared" si="40"/>
        <v>1</v>
      </c>
      <c r="N140" s="116">
        <f t="shared" si="41"/>
        <v>10.622950000000031</v>
      </c>
    </row>
    <row r="141" spans="1:14" ht="12.75">
      <c r="A141" s="167">
        <f t="shared" si="43"/>
        <v>105</v>
      </c>
      <c r="B141" s="167">
        <f t="shared" si="43"/>
        <v>104.5</v>
      </c>
      <c r="C141" s="167">
        <v>4</v>
      </c>
      <c r="D141" s="27" t="b">
        <f t="shared" si="34"/>
        <v>0</v>
      </c>
      <c r="E141" s="168">
        <f t="shared" si="42"/>
        <v>5.833333333333344</v>
      </c>
      <c r="F141" s="117">
        <f t="shared" si="35"/>
        <v>3.5048833333333436</v>
      </c>
      <c r="G141" s="27" t="b">
        <f t="shared" si="36"/>
        <v>0</v>
      </c>
      <c r="H141" s="27" t="b">
        <f t="shared" si="33"/>
        <v>0</v>
      </c>
      <c r="I141" s="116" t="b">
        <f t="shared" si="37"/>
        <v>0</v>
      </c>
      <c r="J141" s="116" t="b">
        <f t="shared" si="31"/>
        <v>0</v>
      </c>
      <c r="K141" s="116" t="b">
        <f t="shared" si="38"/>
        <v>0</v>
      </c>
      <c r="L141" s="116" t="b">
        <f t="shared" si="39"/>
        <v>0</v>
      </c>
      <c r="M141" s="116">
        <f t="shared" si="40"/>
        <v>1</v>
      </c>
      <c r="N141" s="116">
        <f t="shared" si="41"/>
        <v>10.514650000000032</v>
      </c>
    </row>
    <row r="142" spans="1:14" ht="12.75">
      <c r="A142" s="167">
        <f t="shared" si="43"/>
        <v>106</v>
      </c>
      <c r="B142" s="167">
        <f t="shared" si="43"/>
        <v>105.5</v>
      </c>
      <c r="C142" s="167">
        <v>5</v>
      </c>
      <c r="D142" s="27" t="b">
        <f t="shared" si="34"/>
        <v>0</v>
      </c>
      <c r="E142" s="168">
        <f t="shared" si="42"/>
        <v>5.833333333333344</v>
      </c>
      <c r="F142" s="117">
        <f t="shared" si="35"/>
        <v>3.4687833333333438</v>
      </c>
      <c r="G142" s="27" t="b">
        <f t="shared" si="36"/>
        <v>0</v>
      </c>
      <c r="H142" s="27" t="b">
        <f t="shared" si="33"/>
        <v>0</v>
      </c>
      <c r="I142" s="116" t="b">
        <f t="shared" si="37"/>
        <v>0</v>
      </c>
      <c r="J142" s="116" t="b">
        <f t="shared" si="31"/>
        <v>0</v>
      </c>
      <c r="K142" s="116" t="b">
        <f t="shared" si="38"/>
        <v>0</v>
      </c>
      <c r="L142" s="116" t="b">
        <f t="shared" si="39"/>
        <v>0</v>
      </c>
      <c r="M142" s="116">
        <f t="shared" si="40"/>
        <v>1</v>
      </c>
      <c r="N142" s="116">
        <f t="shared" si="41"/>
        <v>10.406350000000032</v>
      </c>
    </row>
    <row r="143" spans="1:14" ht="12.75">
      <c r="A143" s="167">
        <f t="shared" si="43"/>
        <v>107</v>
      </c>
      <c r="B143" s="167">
        <f t="shared" si="43"/>
        <v>106.5</v>
      </c>
      <c r="C143" s="167">
        <v>6</v>
      </c>
      <c r="D143" s="27" t="b">
        <f t="shared" si="34"/>
        <v>0</v>
      </c>
      <c r="E143" s="168">
        <f t="shared" si="42"/>
        <v>5.833333333333344</v>
      </c>
      <c r="F143" s="117">
        <f t="shared" si="35"/>
        <v>3.4326833333333435</v>
      </c>
      <c r="G143" s="27" t="b">
        <f t="shared" si="36"/>
        <v>0</v>
      </c>
      <c r="H143" s="27" t="b">
        <f t="shared" si="33"/>
        <v>0</v>
      </c>
      <c r="I143" s="116" t="b">
        <f t="shared" si="37"/>
        <v>0</v>
      </c>
      <c r="J143" s="116" t="b">
        <f t="shared" si="31"/>
        <v>0</v>
      </c>
      <c r="K143" s="116" t="b">
        <f t="shared" si="38"/>
        <v>0</v>
      </c>
      <c r="L143" s="116" t="b">
        <f t="shared" si="39"/>
        <v>0</v>
      </c>
      <c r="M143" s="116">
        <f t="shared" si="40"/>
        <v>1</v>
      </c>
      <c r="N143" s="116">
        <f t="shared" si="41"/>
        <v>10.29805000000003</v>
      </c>
    </row>
    <row r="144" spans="1:14" ht="12.75">
      <c r="A144" s="167">
        <f t="shared" si="43"/>
        <v>108</v>
      </c>
      <c r="B144" s="167">
        <f t="shared" si="43"/>
        <v>107.5</v>
      </c>
      <c r="C144" s="167">
        <v>7</v>
      </c>
      <c r="D144" s="27" t="b">
        <f t="shared" si="34"/>
        <v>0</v>
      </c>
      <c r="E144" s="168">
        <f t="shared" si="42"/>
        <v>5.833333333333344</v>
      </c>
      <c r="F144" s="117">
        <f t="shared" si="35"/>
        <v>3.3965833333333437</v>
      </c>
      <c r="G144" s="27" t="b">
        <f t="shared" si="36"/>
        <v>0</v>
      </c>
      <c r="H144" s="27" t="b">
        <f t="shared" si="33"/>
        <v>0</v>
      </c>
      <c r="I144" s="116" t="b">
        <f t="shared" si="37"/>
        <v>0</v>
      </c>
      <c r="J144" s="116" t="b">
        <f t="shared" si="31"/>
        <v>0</v>
      </c>
      <c r="K144" s="116" t="b">
        <f t="shared" si="38"/>
        <v>0</v>
      </c>
      <c r="L144" s="116" t="b">
        <f t="shared" si="39"/>
        <v>0</v>
      </c>
      <c r="M144" s="116">
        <f t="shared" si="40"/>
        <v>1</v>
      </c>
      <c r="N144" s="116">
        <f t="shared" si="41"/>
        <v>10.189750000000032</v>
      </c>
    </row>
  </sheetData>
  <sheetProtection sheet="1" objects="1" scenarios="1" selectLockedCells="1"/>
  <mergeCells count="123">
    <mergeCell ref="F27:H28"/>
    <mergeCell ref="A23:H23"/>
    <mergeCell ref="B27:C28"/>
    <mergeCell ref="D27:D28"/>
    <mergeCell ref="E27:E28"/>
    <mergeCell ref="A27:A28"/>
    <mergeCell ref="F24:H24"/>
    <mergeCell ref="F25:H25"/>
    <mergeCell ref="F26:H26"/>
    <mergeCell ref="AD20:AD22"/>
    <mergeCell ref="AD23:AD25"/>
    <mergeCell ref="AD26:AD28"/>
    <mergeCell ref="AD29:AD31"/>
    <mergeCell ref="U29:V31"/>
    <mergeCell ref="X20:Y22"/>
    <mergeCell ref="X23:Y25"/>
    <mergeCell ref="X26:Y28"/>
    <mergeCell ref="X29:Y31"/>
    <mergeCell ref="P2:AD2"/>
    <mergeCell ref="P20:P22"/>
    <mergeCell ref="P23:P25"/>
    <mergeCell ref="P26:P28"/>
    <mergeCell ref="Q20:Q22"/>
    <mergeCell ref="Q23:Q25"/>
    <mergeCell ref="Q26:Q28"/>
    <mergeCell ref="U20:V22"/>
    <mergeCell ref="U23:V25"/>
    <mergeCell ref="U26:V28"/>
    <mergeCell ref="AD8:AD10"/>
    <mergeCell ref="P11:P13"/>
    <mergeCell ref="Q11:Q13"/>
    <mergeCell ref="U11:V13"/>
    <mergeCell ref="W11:W13"/>
    <mergeCell ref="AD11:AD13"/>
    <mergeCell ref="P8:P10"/>
    <mergeCell ref="Q8:Q10"/>
    <mergeCell ref="U8:V10"/>
    <mergeCell ref="W8:W10"/>
    <mergeCell ref="W17:W19"/>
    <mergeCell ref="AD17:AD19"/>
    <mergeCell ref="P14:P16"/>
    <mergeCell ref="Q14:Q16"/>
    <mergeCell ref="S14:S16"/>
    <mergeCell ref="T14:T16"/>
    <mergeCell ref="P34:AD34"/>
    <mergeCell ref="P35:AD35"/>
    <mergeCell ref="U14:V16"/>
    <mergeCell ref="W14:W16"/>
    <mergeCell ref="AD14:AD16"/>
    <mergeCell ref="P17:P19"/>
    <mergeCell ref="Q17:Q19"/>
    <mergeCell ref="S17:S19"/>
    <mergeCell ref="T17:T19"/>
    <mergeCell ref="U17:V19"/>
    <mergeCell ref="B35:B36"/>
    <mergeCell ref="C35:C36"/>
    <mergeCell ref="S26:S28"/>
    <mergeCell ref="P29:P31"/>
    <mergeCell ref="Q29:Q31"/>
    <mergeCell ref="P36:AD36"/>
    <mergeCell ref="N35:N36"/>
    <mergeCell ref="H35:H36"/>
    <mergeCell ref="J35:J36"/>
    <mergeCell ref="T26:T28"/>
    <mergeCell ref="P37:AD37"/>
    <mergeCell ref="P33:AD33"/>
    <mergeCell ref="P32:AD32"/>
    <mergeCell ref="D35:D36"/>
    <mergeCell ref="G35:G36"/>
    <mergeCell ref="I35:I36"/>
    <mergeCell ref="L35:L36"/>
    <mergeCell ref="E35:E36"/>
    <mergeCell ref="F35:F36"/>
    <mergeCell ref="M35:M36"/>
    <mergeCell ref="A19:H19"/>
    <mergeCell ref="A20:H20"/>
    <mergeCell ref="A2:H2"/>
    <mergeCell ref="A4:A10"/>
    <mergeCell ref="B4:B8"/>
    <mergeCell ref="C4:C8"/>
    <mergeCell ref="D4:D8"/>
    <mergeCell ref="E4:F4"/>
    <mergeCell ref="E5:E8"/>
    <mergeCell ref="F9:F10"/>
    <mergeCell ref="G9:G10"/>
    <mergeCell ref="H9:H10"/>
    <mergeCell ref="A18:H18"/>
    <mergeCell ref="B9:B10"/>
    <mergeCell ref="C9:C10"/>
    <mergeCell ref="D9:D10"/>
    <mergeCell ref="E9:E10"/>
    <mergeCell ref="K32:K34"/>
    <mergeCell ref="K35:K36"/>
    <mergeCell ref="A31:N31"/>
    <mergeCell ref="N32:N34"/>
    <mergeCell ref="M32:M34"/>
    <mergeCell ref="F32:F34"/>
    <mergeCell ref="E32:E34"/>
    <mergeCell ref="L32:L34"/>
    <mergeCell ref="I32:I34"/>
    <mergeCell ref="A32:A36"/>
    <mergeCell ref="J32:J34"/>
    <mergeCell ref="H32:H34"/>
    <mergeCell ref="G32:G34"/>
    <mergeCell ref="D32:D34"/>
    <mergeCell ref="C32:C34"/>
    <mergeCell ref="B32:B34"/>
    <mergeCell ref="B24:C24"/>
    <mergeCell ref="B25:C25"/>
    <mergeCell ref="P3:P7"/>
    <mergeCell ref="Q3:Q7"/>
    <mergeCell ref="R3:R7"/>
    <mergeCell ref="A3:H3"/>
    <mergeCell ref="F5:F8"/>
    <mergeCell ref="G5:G8"/>
    <mergeCell ref="H5:H8"/>
    <mergeCell ref="W3:W6"/>
    <mergeCell ref="U3:V6"/>
    <mergeCell ref="S3:T6"/>
    <mergeCell ref="AD3:AD7"/>
    <mergeCell ref="AB3:AC6"/>
    <mergeCell ref="Z3:AA6"/>
    <mergeCell ref="X3:Y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P89"/>
  <sheetViews>
    <sheetView workbookViewId="0" topLeftCell="A1">
      <selection activeCell="E11" sqref="E11"/>
    </sheetView>
  </sheetViews>
  <sheetFormatPr defaultColWidth="9.140625" defaultRowHeight="12.75"/>
  <cols>
    <col min="1" max="1" width="12.57421875" style="4" customWidth="1"/>
    <col min="2" max="2" width="73.7109375" style="28" customWidth="1"/>
    <col min="3" max="3" width="44.00390625" style="28" customWidth="1"/>
    <col min="4" max="4" width="15.28125" style="9" customWidth="1"/>
    <col min="5" max="5" width="10.57421875" style="9" customWidth="1"/>
    <col min="6" max="6" width="38.8515625" style="0" customWidth="1"/>
    <col min="8" max="8" width="21.140625" style="0" customWidth="1"/>
    <col min="9" max="9" width="12.28125" style="0" customWidth="1"/>
    <col min="10" max="10" width="118.8515625" style="0" customWidth="1"/>
    <col min="11" max="11" width="15.421875" style="0" customWidth="1"/>
    <col min="12" max="12" width="8.140625" style="0" customWidth="1"/>
    <col min="13" max="13" width="13.140625" style="0" customWidth="1"/>
    <col min="14" max="14" width="18.8515625" style="0" customWidth="1"/>
    <col min="15" max="15" width="5.8515625" style="0" customWidth="1"/>
    <col min="16" max="16" width="13.421875" style="4" customWidth="1"/>
  </cols>
  <sheetData>
    <row r="2" spans="1:16" ht="18">
      <c r="A2" s="248" t="s">
        <v>408</v>
      </c>
      <c r="B2" s="248"/>
      <c r="C2" s="248"/>
      <c r="D2" s="248"/>
      <c r="E2" s="248"/>
      <c r="F2" s="248"/>
      <c r="H2" s="389" t="s">
        <v>682</v>
      </c>
      <c r="I2" s="390"/>
      <c r="J2" s="390"/>
      <c r="K2" s="390"/>
      <c r="L2" s="390"/>
      <c r="M2" s="390"/>
      <c r="N2" s="390"/>
      <c r="O2" s="390"/>
      <c r="P2" s="390"/>
    </row>
    <row r="3" spans="1:16" ht="18" customHeight="1">
      <c r="A3" s="404" t="s">
        <v>410</v>
      </c>
      <c r="B3" s="404"/>
      <c r="C3" s="404"/>
      <c r="D3" s="404"/>
      <c r="E3" s="404"/>
      <c r="F3" s="404"/>
      <c r="H3" s="131"/>
      <c r="I3" s="131"/>
      <c r="J3" s="140"/>
      <c r="K3" s="426" t="s">
        <v>487</v>
      </c>
      <c r="L3" s="427"/>
      <c r="M3" s="427"/>
      <c r="N3" s="132">
        <v>35</v>
      </c>
      <c r="O3" s="126"/>
      <c r="P3" s="127"/>
    </row>
    <row r="4" spans="1:16" ht="33" customHeight="1">
      <c r="A4" s="51" t="s">
        <v>28</v>
      </c>
      <c r="B4" s="51" t="s">
        <v>128</v>
      </c>
      <c r="C4" s="51" t="s">
        <v>127</v>
      </c>
      <c r="D4" s="51" t="s">
        <v>496</v>
      </c>
      <c r="E4" s="51" t="s">
        <v>504</v>
      </c>
      <c r="F4" s="51" t="s">
        <v>506</v>
      </c>
      <c r="H4" s="393" t="s">
        <v>561</v>
      </c>
      <c r="I4" s="395" t="s">
        <v>400</v>
      </c>
      <c r="J4" s="395" t="s">
        <v>401</v>
      </c>
      <c r="K4" s="398" t="s">
        <v>403</v>
      </c>
      <c r="L4" s="398"/>
      <c r="M4" s="327"/>
      <c r="N4" s="398" t="s">
        <v>402</v>
      </c>
      <c r="O4" s="399"/>
      <c r="P4" s="399"/>
    </row>
    <row r="5" spans="1:16" ht="15.75" customHeight="1">
      <c r="A5" s="44" t="s">
        <v>46</v>
      </c>
      <c r="B5" s="237" t="s">
        <v>135</v>
      </c>
      <c r="C5" s="46"/>
      <c r="D5" s="20" t="s">
        <v>497</v>
      </c>
      <c r="E5" s="52">
        <v>14</v>
      </c>
      <c r="F5" s="46"/>
      <c r="H5" s="394"/>
      <c r="I5" s="396"/>
      <c r="J5" s="396"/>
      <c r="K5" s="398" t="s">
        <v>486</v>
      </c>
      <c r="L5" s="399"/>
      <c r="M5" s="24" t="s">
        <v>437</v>
      </c>
      <c r="N5" s="398" t="s">
        <v>486</v>
      </c>
      <c r="O5" s="399"/>
      <c r="P5" s="24" t="s">
        <v>437</v>
      </c>
    </row>
    <row r="6" spans="1:16" ht="15.75" customHeight="1">
      <c r="A6" s="47" t="s">
        <v>58</v>
      </c>
      <c r="B6" s="48" t="s">
        <v>136</v>
      </c>
      <c r="C6" s="46"/>
      <c r="D6" s="20" t="s">
        <v>497</v>
      </c>
      <c r="E6" s="52">
        <v>48</v>
      </c>
      <c r="F6" s="46"/>
      <c r="H6" s="425" t="s">
        <v>548</v>
      </c>
      <c r="I6" s="425" t="s">
        <v>549</v>
      </c>
      <c r="J6" s="128" t="s">
        <v>585</v>
      </c>
      <c r="K6" s="137" t="s">
        <v>476</v>
      </c>
      <c r="L6" s="135">
        <f>IF((0.8-0.01*N$3)&gt;0.93,0.93,(0.8-0.01*N$3))</f>
        <v>0.45</v>
      </c>
      <c r="M6" s="158">
        <f>IF((L6*1.25)&gt;0.93,0.93,(L6*1.25))</f>
        <v>0.5625</v>
      </c>
      <c r="N6" s="138" t="s">
        <v>481</v>
      </c>
      <c r="O6" s="159">
        <f aca="true" t="shared" si="0" ref="O6:P10">1.4/L6</f>
        <v>3.1111111111111107</v>
      </c>
      <c r="P6" s="236">
        <f t="shared" si="0"/>
        <v>2.488888888888889</v>
      </c>
    </row>
    <row r="7" spans="1:16" ht="15.75" customHeight="1">
      <c r="A7" s="47" t="s">
        <v>78</v>
      </c>
      <c r="B7" s="48" t="s">
        <v>460</v>
      </c>
      <c r="C7" s="46"/>
      <c r="D7" s="20" t="s">
        <v>509</v>
      </c>
      <c r="E7" s="52">
        <v>5000</v>
      </c>
      <c r="F7" s="46" t="s">
        <v>422</v>
      </c>
      <c r="H7" s="418"/>
      <c r="I7" s="418"/>
      <c r="J7" s="130" t="s">
        <v>586</v>
      </c>
      <c r="K7" s="139" t="s">
        <v>477</v>
      </c>
      <c r="L7" s="136">
        <f>IF((0.62-0.01*N$3)&gt;0.93,0.93,(0.62-0.01*N$3))</f>
        <v>0.26999999999999996</v>
      </c>
      <c r="M7" s="158">
        <f>IF((L7*1.25)&gt;0.93,0.93,(L7*1.25))</f>
        <v>0.33749999999999997</v>
      </c>
      <c r="N7" s="139" t="s">
        <v>482</v>
      </c>
      <c r="O7" s="159">
        <f t="shared" si="0"/>
        <v>5.185185185185186</v>
      </c>
      <c r="P7" s="236">
        <f t="shared" si="0"/>
        <v>4.148148148148148</v>
      </c>
    </row>
    <row r="8" spans="1:16" ht="15.75" customHeight="1">
      <c r="A8" s="47" t="s">
        <v>79</v>
      </c>
      <c r="B8" s="48" t="s">
        <v>461</v>
      </c>
      <c r="C8" s="46"/>
      <c r="D8" s="20" t="s">
        <v>509</v>
      </c>
      <c r="E8" s="52">
        <v>0</v>
      </c>
      <c r="F8" s="46" t="s">
        <v>423</v>
      </c>
      <c r="H8" s="418"/>
      <c r="I8" s="418"/>
      <c r="J8" s="130" t="s">
        <v>587</v>
      </c>
      <c r="K8" s="139" t="s">
        <v>478</v>
      </c>
      <c r="L8" s="136">
        <f>IF((0.71-0.01*N$3)&gt;0.93,0.93,(0.71-0.01*N$3))</f>
        <v>0.35999999999999993</v>
      </c>
      <c r="M8" s="158">
        <f>IF((L8*1.25)&gt;0.93,0.93,(L8*1.25))</f>
        <v>0.4499999999999999</v>
      </c>
      <c r="N8" s="139" t="s">
        <v>483</v>
      </c>
      <c r="O8" s="159">
        <f t="shared" si="0"/>
        <v>3.8888888888888893</v>
      </c>
      <c r="P8" s="236">
        <f t="shared" si="0"/>
        <v>3.1111111111111116</v>
      </c>
    </row>
    <row r="9" spans="1:16" ht="15.75" customHeight="1">
      <c r="A9" s="112"/>
      <c r="B9" s="46" t="s">
        <v>462</v>
      </c>
      <c r="C9" s="46"/>
      <c r="D9" s="20" t="s">
        <v>526</v>
      </c>
      <c r="E9" s="52">
        <v>1</v>
      </c>
      <c r="F9" s="46" t="s">
        <v>407</v>
      </c>
      <c r="H9" s="418"/>
      <c r="I9" s="418"/>
      <c r="J9" s="130" t="s">
        <v>669</v>
      </c>
      <c r="K9" s="139" t="s">
        <v>479</v>
      </c>
      <c r="L9" s="136">
        <f>IF((0.58-0.01*N$3)&gt;0.93,0.93,(0.58-0.01*N$3))</f>
        <v>0.22999999999999993</v>
      </c>
      <c r="M9" s="158">
        <f>IF((L9*1.25)&gt;0.93,0.93,(L9*1.25))</f>
        <v>0.2874999999999999</v>
      </c>
      <c r="N9" s="139" t="s">
        <v>484</v>
      </c>
      <c r="O9" s="159">
        <f t="shared" si="0"/>
        <v>6.086956521739132</v>
      </c>
      <c r="P9" s="236">
        <f t="shared" si="0"/>
        <v>4.8695652173913055</v>
      </c>
    </row>
    <row r="10" spans="1:16" ht="15.75" customHeight="1">
      <c r="A10" s="113" t="s">
        <v>80</v>
      </c>
      <c r="B10" s="46" t="s">
        <v>141</v>
      </c>
      <c r="C10" s="46" t="s">
        <v>489</v>
      </c>
      <c r="D10" s="20" t="s">
        <v>147</v>
      </c>
      <c r="E10" s="52">
        <v>251.5</v>
      </c>
      <c r="F10" s="46" t="s">
        <v>488</v>
      </c>
      <c r="H10" s="418"/>
      <c r="I10" s="418"/>
      <c r="J10" s="130" t="s">
        <v>670</v>
      </c>
      <c r="K10" s="139" t="s">
        <v>480</v>
      </c>
      <c r="L10" s="136">
        <f>IF((0.77-0.01*N$3)&gt;0.93,0.93,(0.77-0.01*N$3))</f>
        <v>0.42</v>
      </c>
      <c r="M10" s="158">
        <f>IF((L10*1.25)&gt;0.93,0.93,(L10*1.25))</f>
        <v>0.525</v>
      </c>
      <c r="N10" s="139" t="s">
        <v>485</v>
      </c>
      <c r="O10" s="159">
        <f t="shared" si="0"/>
        <v>3.333333333333333</v>
      </c>
      <c r="P10" s="236">
        <f t="shared" si="0"/>
        <v>2.6666666666666665</v>
      </c>
    </row>
    <row r="11" spans="1:16" ht="15.75" customHeight="1">
      <c r="A11" s="47" t="s">
        <v>83</v>
      </c>
      <c r="B11" s="48" t="s">
        <v>464</v>
      </c>
      <c r="C11" s="45"/>
      <c r="D11" s="20" t="s">
        <v>30</v>
      </c>
      <c r="E11" s="52">
        <v>0.53</v>
      </c>
      <c r="F11" s="46" t="s">
        <v>459</v>
      </c>
      <c r="H11" s="418"/>
      <c r="I11" s="129" t="s">
        <v>550</v>
      </c>
      <c r="J11" s="130" t="s">
        <v>551</v>
      </c>
      <c r="K11" s="397">
        <v>0.41</v>
      </c>
      <c r="L11" s="397"/>
      <c r="M11" s="41">
        <f>+K11*1.25</f>
        <v>0.5125</v>
      </c>
      <c r="N11" s="397">
        <v>3.4</v>
      </c>
      <c r="O11" s="321"/>
      <c r="P11" s="42">
        <f aca="true" t="shared" si="1" ref="P11:P20">+N11*0.8</f>
        <v>2.72</v>
      </c>
    </row>
    <row r="12" spans="1:16" ht="15.75" customHeight="1">
      <c r="A12" s="47" t="s">
        <v>61</v>
      </c>
      <c r="B12" s="48" t="s">
        <v>465</v>
      </c>
      <c r="C12" s="46"/>
      <c r="D12" s="20" t="s">
        <v>30</v>
      </c>
      <c r="E12" s="52">
        <v>2.67</v>
      </c>
      <c r="F12" s="46" t="s">
        <v>459</v>
      </c>
      <c r="H12" s="418"/>
      <c r="I12" s="129" t="s">
        <v>552</v>
      </c>
      <c r="J12" s="130" t="s">
        <v>553</v>
      </c>
      <c r="K12" s="397">
        <v>0.5</v>
      </c>
      <c r="L12" s="397"/>
      <c r="M12" s="41">
        <f aca="true" t="shared" si="2" ref="M12:M21">+K12*1.25</f>
        <v>0.625</v>
      </c>
      <c r="N12" s="397">
        <v>2.8</v>
      </c>
      <c r="O12" s="321"/>
      <c r="P12" s="42">
        <f t="shared" si="1"/>
        <v>2.2399999999999998</v>
      </c>
    </row>
    <row r="13" spans="1:16" ht="15.75" customHeight="1">
      <c r="A13" s="47" t="s">
        <v>60</v>
      </c>
      <c r="B13" s="48" t="s">
        <v>137</v>
      </c>
      <c r="C13" s="46" t="s">
        <v>179</v>
      </c>
      <c r="D13" s="20" t="s">
        <v>498</v>
      </c>
      <c r="E13" s="115">
        <f>'Soil Profile'!E25</f>
        <v>40</v>
      </c>
      <c r="F13" s="46"/>
      <c r="H13" s="418"/>
      <c r="I13" s="129" t="s">
        <v>554</v>
      </c>
      <c r="J13" s="130" t="s">
        <v>555</v>
      </c>
      <c r="K13" s="397">
        <v>0.5</v>
      </c>
      <c r="L13" s="397"/>
      <c r="M13" s="41">
        <f t="shared" si="2"/>
        <v>0.625</v>
      </c>
      <c r="N13" s="397">
        <v>2.8</v>
      </c>
      <c r="O13" s="321"/>
      <c r="P13" s="42">
        <f t="shared" si="1"/>
        <v>2.2399999999999998</v>
      </c>
    </row>
    <row r="14" spans="1:16" ht="15.75" customHeight="1">
      <c r="A14" s="47" t="s">
        <v>82</v>
      </c>
      <c r="B14" s="48" t="s">
        <v>457</v>
      </c>
      <c r="C14" s="46" t="s">
        <v>179</v>
      </c>
      <c r="D14" s="20" t="s">
        <v>94</v>
      </c>
      <c r="E14" s="116">
        <f>(INDEX('Soil Profile'!A37:'Soil Profile'!F144,'Bearing Strength Assessment'!E6,5)+INDEX('Soil Profile'!A37:'Soil Profile'!F144,('Bearing Strength Assessment'!E6+1),5))/2</f>
        <v>3.541666666666671</v>
      </c>
      <c r="F14" s="46"/>
      <c r="H14" s="418" t="s">
        <v>556</v>
      </c>
      <c r="I14" s="418" t="s">
        <v>549</v>
      </c>
      <c r="J14" s="130" t="s">
        <v>557</v>
      </c>
      <c r="K14" s="397">
        <v>0.6</v>
      </c>
      <c r="L14" s="397"/>
      <c r="M14" s="41">
        <f t="shared" si="2"/>
        <v>0.75</v>
      </c>
      <c r="N14" s="397">
        <v>2.3</v>
      </c>
      <c r="O14" s="321"/>
      <c r="P14" s="42">
        <f t="shared" si="1"/>
        <v>1.8399999999999999</v>
      </c>
    </row>
    <row r="15" spans="1:16" ht="15.75" customHeight="1">
      <c r="A15" s="49" t="s">
        <v>35</v>
      </c>
      <c r="B15" s="48" t="s">
        <v>138</v>
      </c>
      <c r="C15" s="50" t="s">
        <v>180</v>
      </c>
      <c r="D15" s="20" t="s">
        <v>107</v>
      </c>
      <c r="E15" s="27">
        <f>+E14*144*12/E6</f>
        <v>127.50000000000016</v>
      </c>
      <c r="F15" s="46"/>
      <c r="H15" s="419"/>
      <c r="I15" s="419"/>
      <c r="J15" s="130" t="s">
        <v>558</v>
      </c>
      <c r="K15" s="397">
        <v>0.6</v>
      </c>
      <c r="L15" s="397"/>
      <c r="M15" s="41">
        <f t="shared" si="2"/>
        <v>0.75</v>
      </c>
      <c r="N15" s="397">
        <v>2.3</v>
      </c>
      <c r="O15" s="321"/>
      <c r="P15" s="42">
        <f t="shared" si="1"/>
        <v>1.8399999999999999</v>
      </c>
    </row>
    <row r="16" spans="1:16" ht="15.75" customHeight="1">
      <c r="A16" s="411" t="s">
        <v>53</v>
      </c>
      <c r="B16" s="413" t="s">
        <v>139</v>
      </c>
      <c r="C16" s="422" t="s">
        <v>130</v>
      </c>
      <c r="D16" s="362" t="s">
        <v>30</v>
      </c>
      <c r="E16" s="423">
        <f>IF(E13&gt;(1.5*E5+E6),1,IF(E13&lt;E6,0.5,(0.5+(E13-E6)/(3*E5))))</f>
        <v>0.5</v>
      </c>
      <c r="F16" s="408" t="s">
        <v>387</v>
      </c>
      <c r="H16" s="419"/>
      <c r="I16" s="419"/>
      <c r="J16" s="130" t="s">
        <v>559</v>
      </c>
      <c r="K16" s="397">
        <v>0.6</v>
      </c>
      <c r="L16" s="397"/>
      <c r="M16" s="41">
        <f t="shared" si="2"/>
        <v>0.75</v>
      </c>
      <c r="N16" s="397">
        <v>2.3</v>
      </c>
      <c r="O16" s="321"/>
      <c r="P16" s="42">
        <f t="shared" si="1"/>
        <v>1.8399999999999999</v>
      </c>
    </row>
    <row r="17" spans="1:16" ht="15.75" customHeight="1">
      <c r="A17" s="412"/>
      <c r="B17" s="414"/>
      <c r="C17" s="414"/>
      <c r="D17" s="362"/>
      <c r="E17" s="424"/>
      <c r="F17" s="409"/>
      <c r="H17" s="419"/>
      <c r="I17" s="419"/>
      <c r="J17" s="130" t="s">
        <v>560</v>
      </c>
      <c r="K17" s="397">
        <v>0.6</v>
      </c>
      <c r="L17" s="397"/>
      <c r="M17" s="41">
        <f t="shared" si="2"/>
        <v>0.75</v>
      </c>
      <c r="N17" s="397">
        <v>2.3</v>
      </c>
      <c r="O17" s="321"/>
      <c r="P17" s="42">
        <f t="shared" si="1"/>
        <v>1.8399999999999999</v>
      </c>
    </row>
    <row r="18" spans="1:16" ht="15.75" customHeight="1">
      <c r="A18" s="411" t="s">
        <v>54</v>
      </c>
      <c r="B18" s="413" t="s">
        <v>139</v>
      </c>
      <c r="C18" s="414" t="s">
        <v>131</v>
      </c>
      <c r="D18" s="362" t="s">
        <v>30</v>
      </c>
      <c r="E18" s="423">
        <f>IF(E13&lt;E6,(0.5+0.5*E13/E6),1)</f>
        <v>0.9166666666666667</v>
      </c>
      <c r="F18" s="409"/>
      <c r="H18" s="419"/>
      <c r="I18" s="419"/>
      <c r="J18" s="130" t="s">
        <v>669</v>
      </c>
      <c r="K18" s="397">
        <v>0.47</v>
      </c>
      <c r="L18" s="397"/>
      <c r="M18" s="41">
        <f t="shared" si="2"/>
        <v>0.5874999999999999</v>
      </c>
      <c r="N18" s="397">
        <v>3</v>
      </c>
      <c r="O18" s="321"/>
      <c r="P18" s="42">
        <f t="shared" si="1"/>
        <v>2.4000000000000004</v>
      </c>
    </row>
    <row r="19" spans="1:16" ht="15.75" customHeight="1">
      <c r="A19" s="412"/>
      <c r="B19" s="414"/>
      <c r="C19" s="414"/>
      <c r="D19" s="362"/>
      <c r="E19" s="424"/>
      <c r="F19" s="410"/>
      <c r="H19" s="419"/>
      <c r="I19" s="419"/>
      <c r="J19" s="130" t="s">
        <v>670</v>
      </c>
      <c r="K19" s="397">
        <v>0.6</v>
      </c>
      <c r="L19" s="397"/>
      <c r="M19" s="41">
        <f t="shared" si="2"/>
        <v>0.75</v>
      </c>
      <c r="N19" s="397">
        <v>2.3</v>
      </c>
      <c r="O19" s="321"/>
      <c r="P19" s="42">
        <f t="shared" si="1"/>
        <v>1.8399999999999999</v>
      </c>
    </row>
    <row r="20" spans="1:16" ht="15.75" customHeight="1">
      <c r="A20" s="47" t="s">
        <v>48</v>
      </c>
      <c r="B20" s="48" t="s">
        <v>463</v>
      </c>
      <c r="C20" s="50" t="s">
        <v>475</v>
      </c>
      <c r="D20" s="20" t="s">
        <v>458</v>
      </c>
      <c r="E20" s="104">
        <f>IF(E9&gt;0.1,(E5*E5),(3.1416*E5^2/4))</f>
        <v>196</v>
      </c>
      <c r="F20" s="46"/>
      <c r="H20" s="419"/>
      <c r="I20" s="129" t="s">
        <v>552</v>
      </c>
      <c r="J20" s="130" t="s">
        <v>553</v>
      </c>
      <c r="K20" s="397">
        <v>0.6</v>
      </c>
      <c r="L20" s="397"/>
      <c r="M20" s="41">
        <f t="shared" si="2"/>
        <v>0.75</v>
      </c>
      <c r="N20" s="397">
        <v>2.3</v>
      </c>
      <c r="O20" s="321"/>
      <c r="P20" s="42">
        <f t="shared" si="1"/>
        <v>1.8399999999999999</v>
      </c>
    </row>
    <row r="21" spans="1:16" ht="15.75" customHeight="1">
      <c r="A21" s="47" t="s">
        <v>466</v>
      </c>
      <c r="B21" s="46" t="s">
        <v>470</v>
      </c>
      <c r="C21" s="46" t="s">
        <v>469</v>
      </c>
      <c r="D21" s="20" t="s">
        <v>509</v>
      </c>
      <c r="E21" s="115">
        <f>+(E10-E14)*E20*E11</f>
        <v>25757.91166666667</v>
      </c>
      <c r="F21" s="46" t="s">
        <v>389</v>
      </c>
      <c r="H21" s="419"/>
      <c r="I21" s="129" t="s">
        <v>554</v>
      </c>
      <c r="J21" s="130" t="s">
        <v>555</v>
      </c>
      <c r="K21" s="397">
        <v>0.6</v>
      </c>
      <c r="L21" s="397"/>
      <c r="M21" s="41">
        <f t="shared" si="2"/>
        <v>0.75</v>
      </c>
      <c r="N21" s="397">
        <v>2.3</v>
      </c>
      <c r="O21" s="321"/>
      <c r="P21" s="42">
        <f>+N21*0.8</f>
        <v>1.8399999999999999</v>
      </c>
    </row>
    <row r="22" spans="1:16" ht="15.75" customHeight="1">
      <c r="A22" s="47" t="s">
        <v>467</v>
      </c>
      <c r="B22" s="46" t="s">
        <v>471</v>
      </c>
      <c r="C22" s="46" t="s">
        <v>468</v>
      </c>
      <c r="D22" s="20" t="s">
        <v>509</v>
      </c>
      <c r="E22" s="115">
        <f>+(E10-E14)*E20/E12</f>
        <v>18202.184769038704</v>
      </c>
      <c r="F22" s="46" t="s">
        <v>388</v>
      </c>
      <c r="H22" s="392" t="s">
        <v>399</v>
      </c>
      <c r="I22" s="332"/>
      <c r="J22" s="332"/>
      <c r="K22" s="332"/>
      <c r="L22" s="332"/>
      <c r="M22" s="332"/>
      <c r="N22" s="332"/>
      <c r="O22" s="332"/>
      <c r="P22" s="333"/>
    </row>
    <row r="23" spans="1:16" ht="15.75" customHeight="1">
      <c r="A23" s="415" t="s">
        <v>36</v>
      </c>
      <c r="B23" s="416"/>
      <c r="C23" s="416"/>
      <c r="D23" s="417"/>
      <c r="E23" s="43" t="str">
        <f>IF(AND(E21&gt;E7,E22&gt;E8),"Yes","NO")</f>
        <v>Yes</v>
      </c>
      <c r="F23" s="46"/>
      <c r="H23" s="420" t="s">
        <v>404</v>
      </c>
      <c r="I23" s="421"/>
      <c r="J23" s="421"/>
      <c r="K23" s="421"/>
      <c r="L23" s="421"/>
      <c r="M23" s="337"/>
      <c r="N23" s="337"/>
      <c r="O23" s="337"/>
      <c r="P23" s="338"/>
    </row>
    <row r="24" spans="8:16" ht="16.5" customHeight="1">
      <c r="H24" s="339" t="s">
        <v>405</v>
      </c>
      <c r="I24" s="340"/>
      <c r="J24" s="340"/>
      <c r="K24" s="340"/>
      <c r="L24" s="340"/>
      <c r="M24" s="340"/>
      <c r="N24" s="340"/>
      <c r="O24" s="340"/>
      <c r="P24" s="391"/>
    </row>
    <row r="25" spans="1:5" ht="19.5" customHeight="1">
      <c r="A25" s="406" t="s">
        <v>409</v>
      </c>
      <c r="B25" s="407"/>
      <c r="C25" s="407"/>
      <c r="D25" s="407"/>
      <c r="E25" s="407"/>
    </row>
    <row r="26" spans="1:5" ht="15.75" customHeight="1">
      <c r="A26" s="405" t="s">
        <v>390</v>
      </c>
      <c r="B26" s="405"/>
      <c r="C26" s="405"/>
      <c r="D26" s="405"/>
      <c r="E26" s="405"/>
    </row>
    <row r="28" spans="1:5" ht="18">
      <c r="A28" s="400" t="s">
        <v>394</v>
      </c>
      <c r="B28" s="401"/>
      <c r="C28" s="401"/>
      <c r="D28" s="401"/>
      <c r="E28" s="401"/>
    </row>
    <row r="29" spans="1:14" s="9" customFormat="1" ht="15.75" customHeight="1">
      <c r="A29" s="51" t="s">
        <v>28</v>
      </c>
      <c r="B29" s="51" t="s">
        <v>128</v>
      </c>
      <c r="C29" s="51" t="s">
        <v>127</v>
      </c>
      <c r="D29" s="51" t="s">
        <v>496</v>
      </c>
      <c r="E29" s="51" t="s">
        <v>504</v>
      </c>
      <c r="M29" s="143"/>
      <c r="N29" s="143"/>
    </row>
    <row r="30" spans="1:10" ht="15.75" customHeight="1">
      <c r="A30" s="113" t="s">
        <v>140</v>
      </c>
      <c r="B30" s="46" t="s">
        <v>141</v>
      </c>
      <c r="C30" s="50" t="s">
        <v>142</v>
      </c>
      <c r="D30" s="20" t="s">
        <v>147</v>
      </c>
      <c r="E30" s="116">
        <f>+E31*E33*E32*E34+E14</f>
        <v>3.541666666666671</v>
      </c>
      <c r="F30" s="32"/>
      <c r="I30" s="7"/>
      <c r="J30" s="7"/>
    </row>
    <row r="31" spans="1:6" ht="28.5">
      <c r="A31" s="113" t="s">
        <v>132</v>
      </c>
      <c r="B31" s="48" t="s">
        <v>163</v>
      </c>
      <c r="C31" s="46"/>
      <c r="D31" s="20" t="s">
        <v>147</v>
      </c>
      <c r="E31" s="52"/>
      <c r="F31" s="32"/>
    </row>
    <row r="32" spans="1:6" ht="25.5">
      <c r="A32" s="47" t="s">
        <v>55</v>
      </c>
      <c r="B32" s="48" t="s">
        <v>133</v>
      </c>
      <c r="C32" s="46" t="s">
        <v>134</v>
      </c>
      <c r="D32" s="20" t="s">
        <v>30</v>
      </c>
      <c r="E32" s="27">
        <f>IF(E6/E5&lt;2.5,(1+0.2*E6/E5),1.5)</f>
        <v>1.5</v>
      </c>
      <c r="F32" s="32"/>
    </row>
    <row r="33" spans="1:6" ht="25.5">
      <c r="A33" s="47" t="s">
        <v>70</v>
      </c>
      <c r="B33" s="48" t="s">
        <v>143</v>
      </c>
      <c r="C33" s="46" t="s">
        <v>144</v>
      </c>
      <c r="D33" s="20" t="s">
        <v>30</v>
      </c>
      <c r="E33" s="27">
        <v>5.14</v>
      </c>
      <c r="F33" s="32"/>
    </row>
    <row r="34" spans="1:6" ht="25.5">
      <c r="A34" s="47" t="s">
        <v>86</v>
      </c>
      <c r="B34" s="48" t="s">
        <v>145</v>
      </c>
      <c r="C34" s="46" t="s">
        <v>146</v>
      </c>
      <c r="D34" s="20" t="s">
        <v>30</v>
      </c>
      <c r="E34" s="53">
        <v>1.2</v>
      </c>
      <c r="F34" s="32"/>
    </row>
    <row r="35" ht="12.75">
      <c r="C35" s="33"/>
    </row>
    <row r="36" spans="1:16" s="6" customFormat="1" ht="18">
      <c r="A36" s="400" t="s">
        <v>393</v>
      </c>
      <c r="B36" s="402"/>
      <c r="C36" s="402"/>
      <c r="D36" s="402"/>
      <c r="E36" s="402"/>
      <c r="P36" s="8"/>
    </row>
    <row r="37" spans="1:5" s="10" customFormat="1" ht="15.75" customHeight="1">
      <c r="A37" s="51" t="s">
        <v>28</v>
      </c>
      <c r="B37" s="51" t="s">
        <v>128</v>
      </c>
      <c r="C37" s="51" t="s">
        <v>127</v>
      </c>
      <c r="D37" s="51" t="s">
        <v>496</v>
      </c>
      <c r="E37" s="51" t="s">
        <v>504</v>
      </c>
    </row>
    <row r="38" spans="1:5" ht="15.75" customHeight="1">
      <c r="A38" s="113" t="s">
        <v>140</v>
      </c>
      <c r="B38" s="46" t="s">
        <v>141</v>
      </c>
      <c r="C38" s="50" t="s">
        <v>148</v>
      </c>
      <c r="D38" s="20" t="s">
        <v>147</v>
      </c>
      <c r="E38" s="116">
        <f>0.5*(E15/1728)*E5*E16*E41*E42+E14*E18*E40*E44*E43</f>
        <v>251.4678023656728</v>
      </c>
    </row>
    <row r="39" spans="1:5" ht="15.75" customHeight="1">
      <c r="A39" s="49" t="s">
        <v>93</v>
      </c>
      <c r="B39" s="48" t="s">
        <v>162</v>
      </c>
      <c r="C39" s="46"/>
      <c r="D39" s="20" t="s">
        <v>25</v>
      </c>
      <c r="E39" s="52">
        <v>35</v>
      </c>
    </row>
    <row r="40" spans="1:5" ht="25.5">
      <c r="A40" s="47" t="s">
        <v>72</v>
      </c>
      <c r="B40" s="48" t="s">
        <v>150</v>
      </c>
      <c r="C40" s="46" t="s">
        <v>152</v>
      </c>
      <c r="D40" s="20" t="s">
        <v>30</v>
      </c>
      <c r="E40" s="116">
        <f>EXP(3.1416*TAN(E39*3.1416/180))*(TAN((45+E39/2)*3.1416/180))^2</f>
        <v>33.29690019574077</v>
      </c>
    </row>
    <row r="41" spans="1:5" ht="25.5">
      <c r="A41" s="47" t="s">
        <v>71</v>
      </c>
      <c r="B41" s="125" t="s">
        <v>149</v>
      </c>
      <c r="C41" s="46" t="s">
        <v>153</v>
      </c>
      <c r="D41" s="20" t="s">
        <v>30</v>
      </c>
      <c r="E41" s="116">
        <f>2*(E40+1)*TAN(E39*3.1416/180)</f>
        <v>48.03004213348678</v>
      </c>
    </row>
    <row r="42" spans="1:5" ht="25.5">
      <c r="A42" s="47" t="s">
        <v>88</v>
      </c>
      <c r="B42" s="48" t="s">
        <v>151</v>
      </c>
      <c r="C42" s="46" t="s">
        <v>154</v>
      </c>
      <c r="D42" s="20" t="s">
        <v>30</v>
      </c>
      <c r="E42" s="121">
        <v>0.6</v>
      </c>
    </row>
    <row r="43" spans="1:5" ht="25.5">
      <c r="A43" s="47" t="s">
        <v>87</v>
      </c>
      <c r="B43" s="48" t="s">
        <v>151</v>
      </c>
      <c r="C43" s="46" t="s">
        <v>156</v>
      </c>
      <c r="D43" s="20" t="s">
        <v>30</v>
      </c>
      <c r="E43" s="116">
        <f>1+TAN(E39*3.1416/180)</f>
        <v>1.7002096670452378</v>
      </c>
    </row>
    <row r="44" spans="1:5" ht="25.5">
      <c r="A44" s="47" t="s">
        <v>56</v>
      </c>
      <c r="B44" s="48" t="s">
        <v>155</v>
      </c>
      <c r="C44" s="46" t="s">
        <v>157</v>
      </c>
      <c r="D44" s="20" t="s">
        <v>30</v>
      </c>
      <c r="E44" s="116">
        <f>1+2*TAN(E39*3.1416/180)*(1-SIN(E39*3.1416/180))^2*ATAN(E6/E5)</f>
        <v>1.3277309072757415</v>
      </c>
    </row>
    <row r="46" spans="1:5" ht="18">
      <c r="A46" s="400" t="s">
        <v>392</v>
      </c>
      <c r="B46" s="401"/>
      <c r="C46" s="401"/>
      <c r="D46" s="401"/>
      <c r="E46" s="401"/>
    </row>
    <row r="47" spans="1:5" s="9" customFormat="1" ht="15.75" customHeight="1">
      <c r="A47" s="51" t="s">
        <v>28</v>
      </c>
      <c r="B47" s="51" t="s">
        <v>128</v>
      </c>
      <c r="C47" s="51" t="s">
        <v>127</v>
      </c>
      <c r="D47" s="51" t="s">
        <v>496</v>
      </c>
      <c r="E47" s="51" t="s">
        <v>504</v>
      </c>
    </row>
    <row r="48" spans="1:5" ht="15.75" customHeight="1">
      <c r="A48" s="113" t="s">
        <v>140</v>
      </c>
      <c r="B48" s="46" t="s">
        <v>141</v>
      </c>
      <c r="C48" s="50" t="s">
        <v>169</v>
      </c>
      <c r="D48" s="20" t="s">
        <v>147</v>
      </c>
      <c r="E48" s="116">
        <f>+E52*E55*E5*(E16+E18*E6/E5)</f>
        <v>0</v>
      </c>
    </row>
    <row r="49" spans="1:5" ht="15.75" customHeight="1">
      <c r="A49" s="47" t="s">
        <v>73</v>
      </c>
      <c r="B49" s="48" t="s">
        <v>167</v>
      </c>
      <c r="C49" s="46"/>
      <c r="D49" s="34" t="s">
        <v>126</v>
      </c>
      <c r="E49" s="52"/>
    </row>
    <row r="50" spans="1:5" ht="15.75" customHeight="1">
      <c r="A50" s="113" t="s">
        <v>166</v>
      </c>
      <c r="B50" s="46" t="s">
        <v>168</v>
      </c>
      <c r="C50" s="50"/>
      <c r="D50" s="20" t="s">
        <v>498</v>
      </c>
      <c r="E50" s="118"/>
    </row>
    <row r="51" spans="1:5" ht="15.75" customHeight="1">
      <c r="A51" s="47" t="s">
        <v>74</v>
      </c>
      <c r="B51" s="124" t="s">
        <v>161</v>
      </c>
      <c r="C51" s="46"/>
      <c r="D51" s="34" t="s">
        <v>126</v>
      </c>
      <c r="E51" s="52"/>
    </row>
    <row r="52" spans="1:5" ht="15.75" customHeight="1">
      <c r="A52" s="47" t="s">
        <v>75</v>
      </c>
      <c r="B52" s="124" t="s">
        <v>160</v>
      </c>
      <c r="C52" s="50" t="s">
        <v>158</v>
      </c>
      <c r="D52" s="34" t="s">
        <v>126</v>
      </c>
      <c r="E52" s="116">
        <f>+E51*(E53/E54)^0.5</f>
        <v>0</v>
      </c>
    </row>
    <row r="53" spans="1:5" ht="15.75" customHeight="1">
      <c r="A53" s="47" t="s">
        <v>76</v>
      </c>
      <c r="B53" s="48" t="s">
        <v>159</v>
      </c>
      <c r="C53" s="46"/>
      <c r="D53" s="20" t="s">
        <v>147</v>
      </c>
      <c r="E53" s="53">
        <v>14.7</v>
      </c>
    </row>
    <row r="54" spans="1:5" ht="15.75" customHeight="1">
      <c r="A54" s="49" t="s">
        <v>164</v>
      </c>
      <c r="B54" s="48" t="s">
        <v>165</v>
      </c>
      <c r="C54" s="46" t="s">
        <v>179</v>
      </c>
      <c r="D54" s="20" t="s">
        <v>147</v>
      </c>
      <c r="E54" s="116">
        <f>(INDEX('Soil Profile'!A37:'Soil Profile'!F144,'Bearing Strength Assessment'!E50,6)+INDEX('Soil Profile'!A37:'Soil Profile'!F144,('Bearing Strength Assessment'!E50+1),6))/2</f>
        <v>0.703125</v>
      </c>
    </row>
    <row r="55" spans="1:5" ht="15.75" customHeight="1">
      <c r="A55" s="47" t="s">
        <v>52</v>
      </c>
      <c r="B55" s="48" t="s">
        <v>170</v>
      </c>
      <c r="C55" s="46"/>
      <c r="D55" s="20" t="s">
        <v>171</v>
      </c>
      <c r="E55" s="120">
        <v>0.11574074074074074</v>
      </c>
    </row>
    <row r="56" spans="1:5" ht="63" customHeight="1">
      <c r="A56" s="403" t="s">
        <v>172</v>
      </c>
      <c r="B56" s="403"/>
      <c r="C56" s="403"/>
      <c r="D56" s="403"/>
      <c r="E56" s="403"/>
    </row>
    <row r="58" spans="1:5" ht="18">
      <c r="A58" s="400" t="s">
        <v>391</v>
      </c>
      <c r="B58" s="401"/>
      <c r="C58" s="401"/>
      <c r="D58" s="401"/>
      <c r="E58" s="401"/>
    </row>
    <row r="59" spans="1:5" s="9" customFormat="1" ht="15.75" customHeight="1">
      <c r="A59" s="51" t="s">
        <v>28</v>
      </c>
      <c r="B59" s="51" t="s">
        <v>128</v>
      </c>
      <c r="C59" s="51" t="s">
        <v>127</v>
      </c>
      <c r="D59" s="51" t="s">
        <v>496</v>
      </c>
      <c r="E59" s="51" t="s">
        <v>504</v>
      </c>
    </row>
    <row r="60" spans="1:5" ht="15.75" customHeight="1">
      <c r="A60" s="113" t="s">
        <v>140</v>
      </c>
      <c r="B60" s="46" t="s">
        <v>141</v>
      </c>
      <c r="C60" s="50" t="s">
        <v>175</v>
      </c>
      <c r="D60" s="20" t="s">
        <v>147</v>
      </c>
      <c r="E60" s="116">
        <f>+E62+E61/3</f>
        <v>79.2</v>
      </c>
    </row>
    <row r="61" spans="1:5" ht="38.25">
      <c r="A61" s="47" t="s">
        <v>81</v>
      </c>
      <c r="B61" s="48" t="s">
        <v>177</v>
      </c>
      <c r="C61" s="46"/>
      <c r="D61" s="20" t="s">
        <v>147</v>
      </c>
      <c r="E61" s="52"/>
    </row>
    <row r="62" spans="1:5" ht="15.75" customHeight="1">
      <c r="A62" s="47" t="s">
        <v>173</v>
      </c>
      <c r="B62" s="48" t="s">
        <v>174</v>
      </c>
      <c r="C62" s="46"/>
      <c r="D62" s="20" t="s">
        <v>94</v>
      </c>
      <c r="E62" s="53">
        <v>79.2</v>
      </c>
    </row>
    <row r="64" spans="1:5" ht="18">
      <c r="A64" s="400" t="s">
        <v>395</v>
      </c>
      <c r="B64" s="401"/>
      <c r="C64" s="401"/>
      <c r="D64" s="401"/>
      <c r="E64" s="401"/>
    </row>
    <row r="65" spans="1:6" s="9" customFormat="1" ht="15.75" customHeight="1">
      <c r="A65" s="51" t="s">
        <v>28</v>
      </c>
      <c r="B65" s="51" t="s">
        <v>128</v>
      </c>
      <c r="C65" s="51" t="s">
        <v>127</v>
      </c>
      <c r="D65" s="51" t="s">
        <v>496</v>
      </c>
      <c r="E65" s="51" t="s">
        <v>504</v>
      </c>
      <c r="F65" s="39"/>
    </row>
    <row r="66" spans="1:5" ht="15.75" customHeight="1">
      <c r="A66" s="122" t="s">
        <v>140</v>
      </c>
      <c r="B66" s="111" t="s">
        <v>141</v>
      </c>
      <c r="C66" s="123" t="s">
        <v>178</v>
      </c>
      <c r="D66" s="35" t="s">
        <v>147</v>
      </c>
      <c r="E66" s="119">
        <f>+E67*E5*(E16+E18*E6/E5)/E68</f>
        <v>0</v>
      </c>
    </row>
    <row r="67" spans="1:5" ht="38.25">
      <c r="A67" s="47" t="s">
        <v>81</v>
      </c>
      <c r="B67" s="48" t="s">
        <v>177</v>
      </c>
      <c r="C67" s="46"/>
      <c r="D67" s="20" t="s">
        <v>147</v>
      </c>
      <c r="E67" s="52"/>
    </row>
    <row r="68" spans="1:5" ht="15.75" customHeight="1">
      <c r="A68" s="47" t="s">
        <v>176</v>
      </c>
      <c r="B68" s="48" t="s">
        <v>490</v>
      </c>
      <c r="C68" s="46"/>
      <c r="D68" s="20" t="s">
        <v>497</v>
      </c>
      <c r="E68" s="53">
        <v>480</v>
      </c>
    </row>
    <row r="69" spans="1:6" ht="12.75">
      <c r="A69" s="36"/>
      <c r="B69" s="37"/>
      <c r="C69" s="38"/>
      <c r="D69" s="39"/>
      <c r="E69" s="39"/>
      <c r="F69" s="40"/>
    </row>
    <row r="70" spans="1:6" ht="18">
      <c r="A70" s="400" t="s">
        <v>396</v>
      </c>
      <c r="B70" s="401"/>
      <c r="C70" s="401"/>
      <c r="D70" s="401"/>
      <c r="E70" s="401"/>
      <c r="F70" s="40"/>
    </row>
    <row r="71" spans="1:6" s="9" customFormat="1" ht="15.75" customHeight="1">
      <c r="A71" s="51" t="s">
        <v>28</v>
      </c>
      <c r="B71" s="51" t="s">
        <v>128</v>
      </c>
      <c r="C71" s="51" t="s">
        <v>127</v>
      </c>
      <c r="D71" s="51" t="s">
        <v>496</v>
      </c>
      <c r="E71" s="51" t="s">
        <v>504</v>
      </c>
      <c r="F71" s="143"/>
    </row>
    <row r="72" spans="1:6" ht="15.75" customHeight="1">
      <c r="A72" s="113" t="s">
        <v>140</v>
      </c>
      <c r="B72" s="46" t="s">
        <v>141</v>
      </c>
      <c r="C72" s="50" t="s">
        <v>451</v>
      </c>
      <c r="D72" s="35" t="s">
        <v>147</v>
      </c>
      <c r="E72" s="119">
        <f>E14+E75*(E73-E74)</f>
        <v>3.541666666666671</v>
      </c>
      <c r="F72" s="40"/>
    </row>
    <row r="73" spans="1:6" ht="28.5">
      <c r="A73" s="47" t="s">
        <v>77</v>
      </c>
      <c r="B73" s="48" t="s">
        <v>450</v>
      </c>
      <c r="C73" s="46"/>
      <c r="D73" s="20" t="s">
        <v>147</v>
      </c>
      <c r="E73" s="52"/>
      <c r="F73" s="40"/>
    </row>
    <row r="74" spans="1:6" ht="15.75" customHeight="1">
      <c r="A74" s="47" t="s">
        <v>92</v>
      </c>
      <c r="B74" s="48" t="s">
        <v>454</v>
      </c>
      <c r="C74" s="46"/>
      <c r="D74" s="20" t="s">
        <v>147</v>
      </c>
      <c r="E74" s="52"/>
      <c r="F74" s="40"/>
    </row>
    <row r="75" spans="1:5" ht="15.75" customHeight="1">
      <c r="A75" s="47" t="s">
        <v>51</v>
      </c>
      <c r="B75" s="48" t="s">
        <v>452</v>
      </c>
      <c r="C75" s="46" t="s">
        <v>453</v>
      </c>
      <c r="D75" s="20" t="s">
        <v>30</v>
      </c>
      <c r="E75" s="22">
        <f>0.8+0.642*(E6/E5)-0.0839*(E6/E5)^2</f>
        <v>2.014889795918367</v>
      </c>
    </row>
    <row r="77" spans="1:5" ht="18">
      <c r="A77" s="400" t="s">
        <v>397</v>
      </c>
      <c r="B77" s="401"/>
      <c r="C77" s="401"/>
      <c r="D77" s="401"/>
      <c r="E77" s="401"/>
    </row>
    <row r="78" spans="1:5" s="9" customFormat="1" ht="15.75" customHeight="1">
      <c r="A78" s="51" t="s">
        <v>28</v>
      </c>
      <c r="B78" s="51" t="s">
        <v>128</v>
      </c>
      <c r="C78" s="51" t="s">
        <v>127</v>
      </c>
      <c r="D78" s="51" t="s">
        <v>496</v>
      </c>
      <c r="E78" s="51" t="s">
        <v>504</v>
      </c>
    </row>
    <row r="79" spans="1:5" ht="15.75" customHeight="1">
      <c r="A79" s="113" t="s">
        <v>140</v>
      </c>
      <c r="B79" s="46" t="s">
        <v>141</v>
      </c>
      <c r="C79" s="50" t="s">
        <v>451</v>
      </c>
      <c r="D79" s="35" t="s">
        <v>147</v>
      </c>
      <c r="E79" s="119">
        <f>E14+E82*(E80-E81)</f>
        <v>3.541666666666671</v>
      </c>
    </row>
    <row r="80" spans="1:5" ht="28.5">
      <c r="A80" s="47" t="s">
        <v>77</v>
      </c>
      <c r="B80" s="48" t="s">
        <v>450</v>
      </c>
      <c r="C80" s="46"/>
      <c r="D80" s="20" t="s">
        <v>147</v>
      </c>
      <c r="E80" s="52"/>
    </row>
    <row r="81" spans="1:5" ht="15.75" customHeight="1">
      <c r="A81" s="47" t="s">
        <v>92</v>
      </c>
      <c r="B81" s="48" t="s">
        <v>454</v>
      </c>
      <c r="C81" s="46"/>
      <c r="D81" s="20" t="s">
        <v>147</v>
      </c>
      <c r="E81" s="52"/>
    </row>
    <row r="82" spans="1:5" ht="15.75" customHeight="1">
      <c r="A82" s="47" t="s">
        <v>51</v>
      </c>
      <c r="B82" s="48" t="s">
        <v>452</v>
      </c>
      <c r="C82" s="46" t="s">
        <v>455</v>
      </c>
      <c r="D82" s="20" t="s">
        <v>30</v>
      </c>
      <c r="E82" s="117">
        <f>0.8+0.384*(E6/E5)-0.0572*(E6/E5)^2</f>
        <v>1.4441795918367348</v>
      </c>
    </row>
    <row r="84" spans="1:5" ht="18">
      <c r="A84" s="400" t="s">
        <v>398</v>
      </c>
      <c r="B84" s="401"/>
      <c r="C84" s="401"/>
      <c r="D84" s="401"/>
      <c r="E84" s="401"/>
    </row>
    <row r="85" spans="1:5" s="9" customFormat="1" ht="15.75" customHeight="1">
      <c r="A85" s="51" t="s">
        <v>28</v>
      </c>
      <c r="B85" s="51" t="s">
        <v>128</v>
      </c>
      <c r="C85" s="51" t="s">
        <v>127</v>
      </c>
      <c r="D85" s="51" t="s">
        <v>496</v>
      </c>
      <c r="E85" s="51" t="s">
        <v>504</v>
      </c>
    </row>
    <row r="86" spans="1:5" ht="15.75" customHeight="1">
      <c r="A86" s="113" t="s">
        <v>140</v>
      </c>
      <c r="B86" s="46" t="s">
        <v>141</v>
      </c>
      <c r="C86" s="50" t="s">
        <v>451</v>
      </c>
      <c r="D86" s="35" t="s">
        <v>147</v>
      </c>
      <c r="E86" s="119">
        <f>E14+E89*(E87-E88)</f>
        <v>3.541666666666671</v>
      </c>
    </row>
    <row r="87" spans="1:5" ht="28.5">
      <c r="A87" s="47" t="s">
        <v>77</v>
      </c>
      <c r="B87" s="48" t="s">
        <v>450</v>
      </c>
      <c r="C87" s="46"/>
      <c r="D87" s="20" t="s">
        <v>147</v>
      </c>
      <c r="E87" s="52"/>
    </row>
    <row r="88" spans="1:5" ht="15.75" customHeight="1">
      <c r="A88" s="47" t="s">
        <v>92</v>
      </c>
      <c r="B88" s="48" t="s">
        <v>454</v>
      </c>
      <c r="C88" s="46"/>
      <c r="D88" s="20" t="s">
        <v>147</v>
      </c>
      <c r="E88" s="52"/>
    </row>
    <row r="89" spans="1:5" ht="15.75" customHeight="1">
      <c r="A89" s="47" t="s">
        <v>51</v>
      </c>
      <c r="B89" s="48" t="s">
        <v>452</v>
      </c>
      <c r="C89" s="46" t="s">
        <v>456</v>
      </c>
      <c r="D89" s="20" t="s">
        <v>30</v>
      </c>
      <c r="E89" s="117">
        <f>0.8+0.223*(E6/E5)-0.0395*(E6/E5)^2</f>
        <v>1.1002448979591837</v>
      </c>
    </row>
    <row r="97" ht="16.5" customHeight="1"/>
  </sheetData>
  <sheetProtection sheet="1" objects="1" scenarios="1" selectLockedCells="1"/>
  <mergeCells count="63">
    <mergeCell ref="K3:M3"/>
    <mergeCell ref="K4:M4"/>
    <mergeCell ref="K5:L5"/>
    <mergeCell ref="K18:L18"/>
    <mergeCell ref="K20:L20"/>
    <mergeCell ref="K21:L21"/>
    <mergeCell ref="K14:L14"/>
    <mergeCell ref="K15:L15"/>
    <mergeCell ref="K16:L16"/>
    <mergeCell ref="K17:L17"/>
    <mergeCell ref="I6:I10"/>
    <mergeCell ref="H6:H13"/>
    <mergeCell ref="K11:L11"/>
    <mergeCell ref="K12:L12"/>
    <mergeCell ref="K13:L13"/>
    <mergeCell ref="H14:H21"/>
    <mergeCell ref="I14:I19"/>
    <mergeCell ref="H23:P23"/>
    <mergeCell ref="C16:C17"/>
    <mergeCell ref="D16:D17"/>
    <mergeCell ref="E16:E17"/>
    <mergeCell ref="C18:C19"/>
    <mergeCell ref="D18:D19"/>
    <mergeCell ref="E18:E19"/>
    <mergeCell ref="K19:L19"/>
    <mergeCell ref="N18:O18"/>
    <mergeCell ref="N11:O11"/>
    <mergeCell ref="N12:O12"/>
    <mergeCell ref="N13:O13"/>
    <mergeCell ref="N14:O14"/>
    <mergeCell ref="N5:O5"/>
    <mergeCell ref="N15:O15"/>
    <mergeCell ref="N16:O16"/>
    <mergeCell ref="N17:O17"/>
    <mergeCell ref="A2:F2"/>
    <mergeCell ref="A3:F3"/>
    <mergeCell ref="A26:E26"/>
    <mergeCell ref="A25:E25"/>
    <mergeCell ref="F16:F19"/>
    <mergeCell ref="A16:A17"/>
    <mergeCell ref="B16:B17"/>
    <mergeCell ref="A18:A19"/>
    <mergeCell ref="B18:B19"/>
    <mergeCell ref="A23:D23"/>
    <mergeCell ref="A28:E28"/>
    <mergeCell ref="A36:E36"/>
    <mergeCell ref="A46:E46"/>
    <mergeCell ref="A58:E58"/>
    <mergeCell ref="A56:E56"/>
    <mergeCell ref="A64:E64"/>
    <mergeCell ref="A70:E70"/>
    <mergeCell ref="A77:E77"/>
    <mergeCell ref="A84:E84"/>
    <mergeCell ref="H2:P2"/>
    <mergeCell ref="H24:P24"/>
    <mergeCell ref="H22:P22"/>
    <mergeCell ref="H4:H5"/>
    <mergeCell ref="I4:I5"/>
    <mergeCell ref="J4:J5"/>
    <mergeCell ref="N19:O19"/>
    <mergeCell ref="N20:O20"/>
    <mergeCell ref="N21:O21"/>
    <mergeCell ref="N4:P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AL229"/>
  <sheetViews>
    <sheetView workbookViewId="0" topLeftCell="D1">
      <selection activeCell="D28" sqref="D28"/>
    </sheetView>
  </sheetViews>
  <sheetFormatPr defaultColWidth="9.140625" defaultRowHeight="12.75"/>
  <cols>
    <col min="1" max="1" width="27.140625" style="0" customWidth="1"/>
    <col min="2" max="2" width="43.421875" style="1" customWidth="1"/>
    <col min="3" max="3" width="14.28125" style="0" customWidth="1"/>
    <col min="4" max="4" width="11.7109375" style="0" customWidth="1"/>
    <col min="5" max="5" width="48.00390625" style="0" customWidth="1"/>
    <col min="6" max="6" width="12.28125" style="0" customWidth="1"/>
    <col min="7" max="7" width="16.8515625" style="0" customWidth="1"/>
    <col min="8" max="8" width="120.140625" style="0" customWidth="1"/>
    <col min="9" max="9" width="17.140625" style="0" customWidth="1"/>
    <col min="10" max="10" width="6.140625" style="0" customWidth="1"/>
    <col min="11" max="11" width="7.8515625" style="0" customWidth="1"/>
    <col min="12" max="12" width="19.57421875" style="0" customWidth="1"/>
    <col min="13" max="13" width="5.57421875" style="0" customWidth="1"/>
    <col min="14" max="14" width="8.140625" style="0" customWidth="1"/>
    <col min="15" max="15" width="12.7109375" style="0" customWidth="1"/>
    <col min="16" max="17" width="9.140625" style="9" customWidth="1"/>
    <col min="18" max="18" width="10.8515625" style="9" customWidth="1"/>
    <col min="19" max="21" width="10.140625" style="9" customWidth="1"/>
    <col min="22" max="22" width="14.57421875" style="9" customWidth="1"/>
    <col min="23" max="23" width="12.00390625" style="15" customWidth="1"/>
    <col min="24" max="24" width="15.7109375" style="15" customWidth="1"/>
    <col min="25" max="25" width="11.57421875" style="11" customWidth="1"/>
    <col min="26" max="26" width="9.140625" style="17" customWidth="1"/>
    <col min="27" max="27" width="9.140625" style="203" customWidth="1"/>
    <col min="28" max="28" width="33.7109375" style="17" customWidth="1"/>
    <col min="29" max="29" width="26.7109375" style="11" customWidth="1"/>
    <col min="30" max="30" width="20.7109375" style="11" customWidth="1"/>
    <col min="31" max="31" width="11.7109375" style="0" customWidth="1"/>
    <col min="32" max="32" width="15.28125" style="9" customWidth="1"/>
    <col min="33" max="33" width="14.140625" style="195" customWidth="1"/>
    <col min="34" max="34" width="17.8515625" style="18" customWidth="1"/>
    <col min="35" max="35" width="20.00390625" style="18" customWidth="1"/>
    <col min="36" max="36" width="19.57421875" style="18" customWidth="1"/>
    <col min="37" max="37" width="19.421875" style="16" customWidth="1"/>
    <col min="38" max="38" width="13.7109375" style="11" customWidth="1"/>
  </cols>
  <sheetData>
    <row r="1" ht="15.75" customHeight="1"/>
    <row r="2" spans="1:38" s="177" customFormat="1" ht="15.75" customHeight="1">
      <c r="A2" s="176" t="s">
        <v>121</v>
      </c>
      <c r="B2" s="188"/>
      <c r="C2" s="176"/>
      <c r="D2" s="176"/>
      <c r="E2" s="176"/>
      <c r="F2" s="182"/>
      <c r="G2" s="475" t="s">
        <v>681</v>
      </c>
      <c r="H2" s="476"/>
      <c r="I2" s="476"/>
      <c r="J2" s="476"/>
      <c r="K2" s="476"/>
      <c r="L2" s="476"/>
      <c r="M2" s="476"/>
      <c r="N2" s="476"/>
      <c r="P2" s="450" t="s">
        <v>120</v>
      </c>
      <c r="Q2" s="451"/>
      <c r="R2" s="451"/>
      <c r="S2" s="451"/>
      <c r="T2" s="451"/>
      <c r="U2" s="451"/>
      <c r="V2" s="451"/>
      <c r="W2" s="451"/>
      <c r="X2" s="451"/>
      <c r="Y2" s="452"/>
      <c r="Z2" s="204"/>
      <c r="AA2" s="209"/>
      <c r="AB2" s="453" t="s">
        <v>834</v>
      </c>
      <c r="AC2" s="454"/>
      <c r="AD2" s="455"/>
      <c r="AF2" s="459" t="s">
        <v>325</v>
      </c>
      <c r="AG2" s="460"/>
      <c r="AH2" s="460"/>
      <c r="AI2" s="460"/>
      <c r="AJ2" s="460"/>
      <c r="AK2" s="460"/>
      <c r="AL2" s="460"/>
    </row>
    <row r="3" spans="1:38" ht="15.75" customHeight="1">
      <c r="A3" s="478" t="s">
        <v>97</v>
      </c>
      <c r="B3" s="479"/>
      <c r="C3" s="479"/>
      <c r="D3" s="479"/>
      <c r="E3" s="479"/>
      <c r="F3" s="40"/>
      <c r="I3" s="184"/>
      <c r="J3" s="184"/>
      <c r="K3" s="183"/>
      <c r="L3" s="183"/>
      <c r="M3" s="183"/>
      <c r="N3" s="183"/>
      <c r="P3" s="327" t="s">
        <v>491</v>
      </c>
      <c r="Q3" s="327" t="s">
        <v>115</v>
      </c>
      <c r="R3" s="327" t="s">
        <v>116</v>
      </c>
      <c r="S3" s="327" t="s">
        <v>109</v>
      </c>
      <c r="T3" s="327" t="s">
        <v>117</v>
      </c>
      <c r="U3" s="327" t="s">
        <v>110</v>
      </c>
      <c r="V3" s="327" t="s">
        <v>111</v>
      </c>
      <c r="W3" s="471" t="s">
        <v>118</v>
      </c>
      <c r="X3" s="318" t="s">
        <v>112</v>
      </c>
      <c r="Y3" s="474" t="s">
        <v>119</v>
      </c>
      <c r="Z3" s="467" t="s">
        <v>47</v>
      </c>
      <c r="AA3" s="207"/>
      <c r="AB3" s="472" t="s">
        <v>14</v>
      </c>
      <c r="AC3" s="456" t="s">
        <v>12</v>
      </c>
      <c r="AD3" s="447" t="s">
        <v>13</v>
      </c>
      <c r="AF3" s="327" t="s">
        <v>332</v>
      </c>
      <c r="AG3" s="462" t="s">
        <v>330</v>
      </c>
      <c r="AH3" s="461" t="s">
        <v>326</v>
      </c>
      <c r="AI3" s="314"/>
      <c r="AJ3" s="461" t="s">
        <v>331</v>
      </c>
      <c r="AK3" s="469"/>
      <c r="AL3" s="447" t="s">
        <v>328</v>
      </c>
    </row>
    <row r="4" spans="1:38" ht="15.75" customHeight="1">
      <c r="A4" s="389" t="s">
        <v>122</v>
      </c>
      <c r="B4" s="390"/>
      <c r="C4" s="390"/>
      <c r="D4" s="390"/>
      <c r="E4" s="390"/>
      <c r="F4" s="183"/>
      <c r="G4" s="482" t="s">
        <v>561</v>
      </c>
      <c r="H4" s="482" t="s">
        <v>671</v>
      </c>
      <c r="I4" s="480" t="s">
        <v>443</v>
      </c>
      <c r="J4" s="481"/>
      <c r="K4" s="481"/>
      <c r="L4" s="187">
        <v>35</v>
      </c>
      <c r="M4" s="477"/>
      <c r="N4" s="446"/>
      <c r="O4" s="3"/>
      <c r="P4" s="469"/>
      <c r="Q4" s="469"/>
      <c r="R4" s="469"/>
      <c r="S4" s="469"/>
      <c r="T4" s="469"/>
      <c r="U4" s="469"/>
      <c r="V4" s="469"/>
      <c r="W4" s="469"/>
      <c r="X4" s="470"/>
      <c r="Y4" s="314"/>
      <c r="Z4" s="468"/>
      <c r="AA4" s="200"/>
      <c r="AB4" s="473"/>
      <c r="AC4" s="457"/>
      <c r="AD4" s="458"/>
      <c r="AF4" s="314"/>
      <c r="AG4" s="463"/>
      <c r="AH4" s="432" t="s">
        <v>327</v>
      </c>
      <c r="AI4" s="432" t="s">
        <v>329</v>
      </c>
      <c r="AJ4" s="432" t="s">
        <v>327</v>
      </c>
      <c r="AK4" s="432" t="s">
        <v>329</v>
      </c>
      <c r="AL4" s="448"/>
    </row>
    <row r="5" spans="1:38" ht="15.75" customHeight="1">
      <c r="A5" s="161" t="s">
        <v>507</v>
      </c>
      <c r="B5" s="161" t="s">
        <v>495</v>
      </c>
      <c r="C5" s="51" t="s">
        <v>496</v>
      </c>
      <c r="D5" s="51" t="s">
        <v>504</v>
      </c>
      <c r="E5" s="51" t="s">
        <v>506</v>
      </c>
      <c r="F5" s="185"/>
      <c r="G5" s="483"/>
      <c r="H5" s="483"/>
      <c r="I5" s="435" t="s">
        <v>346</v>
      </c>
      <c r="J5" s="436"/>
      <c r="K5" s="437"/>
      <c r="L5" s="435" t="s">
        <v>347</v>
      </c>
      <c r="M5" s="436"/>
      <c r="N5" s="437"/>
      <c r="O5" s="3"/>
      <c r="P5" s="469"/>
      <c r="Q5" s="469"/>
      <c r="R5" s="469"/>
      <c r="S5" s="469"/>
      <c r="T5" s="469"/>
      <c r="U5" s="469"/>
      <c r="V5" s="469"/>
      <c r="W5" s="469"/>
      <c r="X5" s="470"/>
      <c r="Y5" s="314"/>
      <c r="Z5" s="468"/>
      <c r="AA5" s="200"/>
      <c r="AB5" s="473"/>
      <c r="AC5" s="210">
        <f>$D$35</f>
        <v>20</v>
      </c>
      <c r="AD5" s="210">
        <f>$D$35</f>
        <v>20</v>
      </c>
      <c r="AF5" s="314"/>
      <c r="AG5" s="463"/>
      <c r="AH5" s="433"/>
      <c r="AI5" s="327"/>
      <c r="AJ5" s="433"/>
      <c r="AK5" s="327"/>
      <c r="AL5" s="448"/>
    </row>
    <row r="6" spans="1:38" ht="15.75" customHeight="1">
      <c r="A6" s="360" t="s">
        <v>494</v>
      </c>
      <c r="B6" s="181" t="s">
        <v>499</v>
      </c>
      <c r="C6" s="25" t="s">
        <v>498</v>
      </c>
      <c r="D6" s="191">
        <v>44</v>
      </c>
      <c r="E6" s="54"/>
      <c r="F6" s="175"/>
      <c r="G6" s="483"/>
      <c r="H6" s="483"/>
      <c r="I6" s="438"/>
      <c r="J6" s="439"/>
      <c r="K6" s="440"/>
      <c r="L6" s="438"/>
      <c r="M6" s="439"/>
      <c r="N6" s="440"/>
      <c r="P6" s="469"/>
      <c r="Q6" s="20" t="s">
        <v>497</v>
      </c>
      <c r="R6" s="20" t="s">
        <v>497</v>
      </c>
      <c r="S6" s="20" t="s">
        <v>497</v>
      </c>
      <c r="T6" s="20" t="s">
        <v>497</v>
      </c>
      <c r="U6" s="20" t="s">
        <v>497</v>
      </c>
      <c r="V6" s="20" t="s">
        <v>497</v>
      </c>
      <c r="W6" s="178" t="s">
        <v>497</v>
      </c>
      <c r="X6" s="25" t="s">
        <v>94</v>
      </c>
      <c r="Y6" s="179" t="s">
        <v>509</v>
      </c>
      <c r="Z6" s="205" t="s">
        <v>510</v>
      </c>
      <c r="AA6" s="208"/>
      <c r="AB6" s="201" t="s">
        <v>510</v>
      </c>
      <c r="AC6" s="179" t="s">
        <v>509</v>
      </c>
      <c r="AD6" s="179" t="s">
        <v>509</v>
      </c>
      <c r="AF6" s="314"/>
      <c r="AG6" s="463"/>
      <c r="AH6" s="434"/>
      <c r="AI6" s="327"/>
      <c r="AJ6" s="434"/>
      <c r="AK6" s="327"/>
      <c r="AL6" s="449"/>
    </row>
    <row r="7" spans="1:38" ht="15.75" customHeight="1">
      <c r="A7" s="360"/>
      <c r="B7" s="181" t="s">
        <v>98</v>
      </c>
      <c r="C7" s="25" t="s">
        <v>497</v>
      </c>
      <c r="D7" s="191">
        <v>4.5</v>
      </c>
      <c r="E7" s="54"/>
      <c r="F7" s="175"/>
      <c r="G7" s="483"/>
      <c r="H7" s="483"/>
      <c r="I7" s="435" t="s">
        <v>486</v>
      </c>
      <c r="J7" s="441"/>
      <c r="K7" s="395" t="s">
        <v>437</v>
      </c>
      <c r="L7" s="435" t="s">
        <v>486</v>
      </c>
      <c r="M7" s="441"/>
      <c r="N7" s="395" t="s">
        <v>438</v>
      </c>
      <c r="P7" s="21">
        <v>1</v>
      </c>
      <c r="Q7" s="21">
        <v>0.5</v>
      </c>
      <c r="R7" s="21">
        <v>1</v>
      </c>
      <c r="S7" s="27">
        <f>IF(Q7&lt;$D$6,$D$7,0)</f>
        <v>4.5</v>
      </c>
      <c r="T7" s="27">
        <f>IF(AND(Q7&gt;$D$6,Q7&lt;($D$8+$D$6)),$D$9,0)</f>
        <v>0</v>
      </c>
      <c r="U7" s="27">
        <f aca="true" t="shared" si="0" ref="U7:U38">IF(AND(Q7&gt;$D$12,Q7&lt;$D$13),$D$14,0)</f>
        <v>0</v>
      </c>
      <c r="V7" s="27">
        <f aca="true" t="shared" si="1" ref="V7:V38">IF(AND(Q7&gt;$D$15,Q7&lt;$D$16),$D$17,0)</f>
        <v>0</v>
      </c>
      <c r="W7" s="116">
        <f>MAX(S7:V7)</f>
        <v>4.5</v>
      </c>
      <c r="X7" s="116">
        <f>'Soil Profile'!N37</f>
        <v>0.5389370547494643</v>
      </c>
      <c r="Y7" s="104">
        <f aca="true" t="shared" si="2" ref="Y7:Y38">+X7*R7*W7</f>
        <v>2.4252167463725893</v>
      </c>
      <c r="Z7" s="206">
        <f aca="true" t="shared" si="3" ref="Z7:Z38">+Y7*Q7</f>
        <v>1.2126083731862947</v>
      </c>
      <c r="AA7" s="208"/>
      <c r="AB7" s="202">
        <f>+Y7*(Q7+$D$35)</f>
        <v>49.71694330063808</v>
      </c>
      <c r="AC7" s="104">
        <f>IF(Q7=-$D$35,-SUM(AB8:AB$114)/(Q7+$D$35+0.0001),-SUM(AB8:AB$114)/(Q7+$D$35))</f>
        <v>-43484.70639994149</v>
      </c>
      <c r="AD7" s="104">
        <f>IF(ABS(AC7)&lt;Y7,SUM(Y8:Y114)-AC7,0)</f>
        <v>0</v>
      </c>
      <c r="AF7" s="20" t="s">
        <v>497</v>
      </c>
      <c r="AG7" s="197" t="s">
        <v>30</v>
      </c>
      <c r="AH7" s="180" t="s">
        <v>509</v>
      </c>
      <c r="AI7" s="180" t="s">
        <v>510</v>
      </c>
      <c r="AJ7" s="180" t="s">
        <v>509</v>
      </c>
      <c r="AK7" s="180" t="s">
        <v>510</v>
      </c>
      <c r="AL7" s="179" t="s">
        <v>497</v>
      </c>
    </row>
    <row r="8" spans="1:38" ht="15.75" customHeight="1">
      <c r="A8" s="360" t="s">
        <v>505</v>
      </c>
      <c r="B8" s="181" t="s">
        <v>501</v>
      </c>
      <c r="C8" s="25" t="s">
        <v>498</v>
      </c>
      <c r="D8" s="191">
        <v>4</v>
      </c>
      <c r="E8" s="316" t="s">
        <v>125</v>
      </c>
      <c r="F8" s="175"/>
      <c r="G8" s="334"/>
      <c r="H8" s="334"/>
      <c r="I8" s="442"/>
      <c r="J8" s="443"/>
      <c r="K8" s="444"/>
      <c r="L8" s="442"/>
      <c r="M8" s="443"/>
      <c r="N8" s="444"/>
      <c r="P8" s="21">
        <f>+P7+1</f>
        <v>2</v>
      </c>
      <c r="Q8" s="21">
        <f>+Q7+1</f>
        <v>1.5</v>
      </c>
      <c r="R8" s="21">
        <v>1</v>
      </c>
      <c r="S8" s="27">
        <f aca="true" t="shared" si="4" ref="S8:S71">IF(Q8&lt;$D$6,$D$7,0)</f>
        <v>4.5</v>
      </c>
      <c r="T8" s="27">
        <f aca="true" t="shared" si="5" ref="T8:T71">IF(AND(Q8&gt;$D$6,Q8&lt;($D$8+$D$6)),$D$9,0)</f>
        <v>0</v>
      </c>
      <c r="U8" s="27">
        <f t="shared" si="0"/>
        <v>0</v>
      </c>
      <c r="V8" s="27">
        <f t="shared" si="1"/>
        <v>0</v>
      </c>
      <c r="W8" s="116">
        <f aca="true" t="shared" si="6" ref="W8:W71">MAX(S8:V8)</f>
        <v>4.5</v>
      </c>
      <c r="X8" s="116">
        <f>'Soil Profile'!N38</f>
        <v>1.6168111642483929</v>
      </c>
      <c r="Y8" s="104">
        <f t="shared" si="2"/>
        <v>7.275650239117768</v>
      </c>
      <c r="Z8" s="206">
        <f t="shared" si="3"/>
        <v>10.913475358676653</v>
      </c>
      <c r="AA8" s="208"/>
      <c r="AB8" s="202">
        <f aca="true" t="shared" si="7" ref="AB8:AB71">+Y8*(Q8+$D$35)</f>
        <v>156.42648014103202</v>
      </c>
      <c r="AC8" s="104">
        <f>IF(Q8=-$D$35,+(SUM(AB$7:AB7)-SUM(AB9:AB$114))/(Q8+$D$35+0.0001),+(SUM(AB$7:AB7)-SUM(AB9:AB$114))/(Q8+$D$35))</f>
        <v>-41452.57385001669</v>
      </c>
      <c r="AD8" s="104">
        <f>IF(ABS(AC8)&lt;Y8,SUM(Y$7:Y7)-AC8-SUM(Y9:Y$114),0)</f>
        <v>0</v>
      </c>
      <c r="AF8" s="21">
        <v>0</v>
      </c>
      <c r="AG8" s="117">
        <f>+AF8/$D$10</f>
        <v>0</v>
      </c>
      <c r="AH8" s="115">
        <f>-SUM(Y$7:Y$124)</f>
        <v>-15661.614723397628</v>
      </c>
      <c r="AI8" s="115">
        <f>SUM(Z$7:Z$124)</f>
        <v>578253.9036741485</v>
      </c>
      <c r="AJ8" s="115">
        <f aca="true" t="shared" si="8" ref="AJ8:AJ39">-AH8</f>
        <v>15661.614723397628</v>
      </c>
      <c r="AK8" s="115">
        <f aca="true" t="shared" si="9" ref="AK8:AK39">-AI8</f>
        <v>-578253.9036741485</v>
      </c>
      <c r="AL8" s="104">
        <f>+AK8/AJ8</f>
        <v>-36.92172958451516</v>
      </c>
    </row>
    <row r="9" spans="1:38" ht="15.75" customHeight="1">
      <c r="A9" s="360"/>
      <c r="B9" s="181" t="s">
        <v>99</v>
      </c>
      <c r="C9" s="25" t="s">
        <v>497</v>
      </c>
      <c r="D9" s="191">
        <v>14</v>
      </c>
      <c r="E9" s="316"/>
      <c r="F9" s="175"/>
      <c r="G9" s="464" t="s">
        <v>548</v>
      </c>
      <c r="H9" s="186" t="s">
        <v>588</v>
      </c>
      <c r="I9" s="194" t="s">
        <v>353</v>
      </c>
      <c r="J9" s="135">
        <f>IF((0.86-0.01*L$4)&gt;0.93,0.93,(0.86-0.01*L$4))</f>
        <v>0.51</v>
      </c>
      <c r="K9" s="158">
        <f>IF((J9*1.25)&gt;0.93,0.93,(J9*1.25))</f>
        <v>0.6375</v>
      </c>
      <c r="L9" s="194" t="s">
        <v>354</v>
      </c>
      <c r="M9" s="159">
        <f aca="true" t="shared" si="10" ref="M9:N13">1.4/J9</f>
        <v>2.745098039215686</v>
      </c>
      <c r="N9" s="116">
        <f t="shared" si="10"/>
        <v>2.196078431372549</v>
      </c>
      <c r="P9" s="21">
        <f aca="true" t="shared" si="11" ref="P9:P72">+P8+1</f>
        <v>3</v>
      </c>
      <c r="Q9" s="21">
        <f aca="true" t="shared" si="12" ref="Q9:Q72">+Q8+1</f>
        <v>2.5</v>
      </c>
      <c r="R9" s="21">
        <v>1</v>
      </c>
      <c r="S9" s="27">
        <f t="shared" si="4"/>
        <v>4.5</v>
      </c>
      <c r="T9" s="27">
        <f t="shared" si="5"/>
        <v>0</v>
      </c>
      <c r="U9" s="27">
        <f t="shared" si="0"/>
        <v>0</v>
      </c>
      <c r="V9" s="27">
        <f t="shared" si="1"/>
        <v>0</v>
      </c>
      <c r="W9" s="116">
        <f t="shared" si="6"/>
        <v>4.5</v>
      </c>
      <c r="X9" s="116">
        <f>'Soil Profile'!N39</f>
        <v>2.6946852737473215</v>
      </c>
      <c r="Y9" s="104">
        <f t="shared" si="2"/>
        <v>12.126083731862947</v>
      </c>
      <c r="Z9" s="206">
        <f t="shared" si="3"/>
        <v>30.315209329657367</v>
      </c>
      <c r="AA9" s="208"/>
      <c r="AB9" s="202">
        <f t="shared" si="7"/>
        <v>272.8368839669163</v>
      </c>
      <c r="AC9" s="104">
        <f>IF(Q9=-$D$35,+(SUM(AB$7:AB8)-SUM(AB10:AB$114))/(Q9+$D$35+0.0001),+(SUM(AB$7:AB8)-SUM(AB10:AB$114))/(Q9+$D$35))</f>
        <v>-39591.15886272226</v>
      </c>
      <c r="AD9" s="104">
        <f>IF(ABS(AC9)&lt;Y9,SUM(Y$7:Y8)-AC9-SUM(Y10:Y$114),0)</f>
        <v>0</v>
      </c>
      <c r="AF9" s="21">
        <f>+AF8+1</f>
        <v>1</v>
      </c>
      <c r="AG9" s="117">
        <f aca="true" t="shared" si="13" ref="AG9:AG72">+AF9/$D$10</f>
        <v>0.020833333333333332</v>
      </c>
      <c r="AH9" s="115">
        <f>SUM(Y$7:Y8)-SUM(Y9:Y$124)</f>
        <v>-15642.21298942665</v>
      </c>
      <c r="AI9" s="115">
        <f>-SUM(Z$7:Z8)+SUM(Z9:Z$124)</f>
        <v>578229.6515066847</v>
      </c>
      <c r="AJ9" s="115">
        <f t="shared" si="8"/>
        <v>15642.21298942665</v>
      </c>
      <c r="AK9" s="115">
        <f t="shared" si="9"/>
        <v>-578229.6515066847</v>
      </c>
      <c r="AL9" s="104">
        <f aca="true" t="shared" si="14" ref="AL9:AL72">+AK9/AJ9</f>
        <v>-36.96597482066885</v>
      </c>
    </row>
    <row r="10" spans="1:38" ht="15.75" customHeight="1">
      <c r="A10" s="357"/>
      <c r="B10" s="385" t="s">
        <v>737</v>
      </c>
      <c r="C10" s="362" t="s">
        <v>497</v>
      </c>
      <c r="D10" s="424">
        <f>+D6+D8</f>
        <v>48</v>
      </c>
      <c r="E10" s="385" t="s">
        <v>96</v>
      </c>
      <c r="F10" s="175"/>
      <c r="G10" s="310"/>
      <c r="H10" s="186" t="s">
        <v>589</v>
      </c>
      <c r="I10" s="194" t="s">
        <v>349</v>
      </c>
      <c r="J10" s="136">
        <f>IF((0.66-0.01*L$4)&gt;0.93,0.93,(0.66-0.01*L$4))</f>
        <v>0.31</v>
      </c>
      <c r="K10" s="158">
        <f>IF((J10*1.25)&gt;0.93,0.93,(J10*1.25))</f>
        <v>0.3875</v>
      </c>
      <c r="L10" s="194" t="s">
        <v>355</v>
      </c>
      <c r="M10" s="159">
        <f t="shared" si="10"/>
        <v>4.516129032258064</v>
      </c>
      <c r="N10" s="116">
        <f t="shared" si="10"/>
        <v>3.612903225806451</v>
      </c>
      <c r="P10" s="21">
        <f t="shared" si="11"/>
        <v>4</v>
      </c>
      <c r="Q10" s="21">
        <f t="shared" si="12"/>
        <v>3.5</v>
      </c>
      <c r="R10" s="21">
        <v>1</v>
      </c>
      <c r="S10" s="27">
        <f t="shared" si="4"/>
        <v>4.5</v>
      </c>
      <c r="T10" s="27">
        <f t="shared" si="5"/>
        <v>0</v>
      </c>
      <c r="U10" s="27">
        <f t="shared" si="0"/>
        <v>0</v>
      </c>
      <c r="V10" s="27">
        <f t="shared" si="1"/>
        <v>0</v>
      </c>
      <c r="W10" s="116">
        <f t="shared" si="6"/>
        <v>4.5</v>
      </c>
      <c r="X10" s="116">
        <f>'Soil Profile'!N40</f>
        <v>3.77255938324625</v>
      </c>
      <c r="Y10" s="104">
        <f t="shared" si="2"/>
        <v>16.976517224608124</v>
      </c>
      <c r="Z10" s="206">
        <f t="shared" si="3"/>
        <v>59.41781028612843</v>
      </c>
      <c r="AA10" s="208"/>
      <c r="AB10" s="202">
        <f t="shared" si="7"/>
        <v>398.9481547782909</v>
      </c>
      <c r="AC10" s="104">
        <f>IF(Q10=-$D$35,+(SUM(AB$7:AB9)-SUM(AB11:AB$114))/(Q10+$D$35+0.0001),+(SUM(AB$7:AB9)-SUM(AB11:AB$114))/(Q10+$D$35))</f>
        <v>-37877.842100957685</v>
      </c>
      <c r="AD10" s="104">
        <f>IF(ABS(AC10)&lt;Y10,SUM(Y$7:Y9)-AC10-SUM(Y11:Y$114),0)</f>
        <v>0</v>
      </c>
      <c r="AF10" s="21">
        <f aca="true" t="shared" si="15" ref="AF10:AF73">+AF9+1</f>
        <v>2</v>
      </c>
      <c r="AG10" s="117">
        <f t="shared" si="13"/>
        <v>0.041666666666666664</v>
      </c>
      <c r="AH10" s="115">
        <f>SUM(Y$7:Y9)-SUM(Y10:Y$124)</f>
        <v>-15617.96082196292</v>
      </c>
      <c r="AI10" s="115">
        <f>-SUM(Z$7:Z9)+SUM(Z10:Z$124)</f>
        <v>578169.0210880254</v>
      </c>
      <c r="AJ10" s="115">
        <f t="shared" si="8"/>
        <v>15617.96082196292</v>
      </c>
      <c r="AK10" s="115">
        <f t="shared" si="9"/>
        <v>-578169.0210880254</v>
      </c>
      <c r="AL10" s="104">
        <f t="shared" si="14"/>
        <v>-37.01949490582466</v>
      </c>
    </row>
    <row r="11" spans="1:38" ht="15.75" customHeight="1">
      <c r="A11" s="357"/>
      <c r="B11" s="385"/>
      <c r="C11" s="361"/>
      <c r="D11" s="361"/>
      <c r="E11" s="385"/>
      <c r="F11" s="175"/>
      <c r="G11" s="310"/>
      <c r="H11" s="186" t="s">
        <v>590</v>
      </c>
      <c r="I11" s="194" t="s">
        <v>350</v>
      </c>
      <c r="J11" s="136">
        <f>IF((0.767-0.01*L$4)&gt;0.93,0.93,(0.76-0.01*L$4))</f>
        <v>0.41</v>
      </c>
      <c r="K11" s="158">
        <f>IF((J11*1.25)&gt;0.93,0.93,(J11*1.25))</f>
        <v>0.5125</v>
      </c>
      <c r="L11" s="194" t="s">
        <v>356</v>
      </c>
      <c r="M11" s="159">
        <f t="shared" si="10"/>
        <v>3.4146341463414633</v>
      </c>
      <c r="N11" s="116">
        <f t="shared" si="10"/>
        <v>2.731707317073171</v>
      </c>
      <c r="P11" s="21">
        <f t="shared" si="11"/>
        <v>5</v>
      </c>
      <c r="Q11" s="21">
        <f t="shared" si="12"/>
        <v>4.5</v>
      </c>
      <c r="R11" s="21">
        <v>1</v>
      </c>
      <c r="S11" s="27">
        <f t="shared" si="4"/>
        <v>4.5</v>
      </c>
      <c r="T11" s="27">
        <f t="shared" si="5"/>
        <v>0</v>
      </c>
      <c r="U11" s="27">
        <f t="shared" si="0"/>
        <v>0</v>
      </c>
      <c r="V11" s="27">
        <f t="shared" si="1"/>
        <v>0</v>
      </c>
      <c r="W11" s="116">
        <f t="shared" si="6"/>
        <v>4.5</v>
      </c>
      <c r="X11" s="116">
        <f>'Soil Profile'!N41</f>
        <v>4.850433492745179</v>
      </c>
      <c r="Y11" s="104">
        <f t="shared" si="2"/>
        <v>21.826950717353306</v>
      </c>
      <c r="Z11" s="206">
        <f t="shared" si="3"/>
        <v>98.22127822808987</v>
      </c>
      <c r="AA11" s="208"/>
      <c r="AB11" s="202">
        <f t="shared" si="7"/>
        <v>534.760292575156</v>
      </c>
      <c r="AC11" s="104">
        <f>IF(Q11=-$D$35,+(SUM(AB$7:AB10)-SUM(AB12:AB$114))/(Q11+$D$35+0.0001),+(SUM(AB$7:AB10)-SUM(AB12:AB$114))/(Q11+$D$35))</f>
        <v>-36293.69718061846</v>
      </c>
      <c r="AD11" s="104">
        <f>IF(ABS(AC11)&lt;Y11,SUM(Y$7:Y10)-AC11-SUM(Y12:Y$114),0)</f>
        <v>0</v>
      </c>
      <c r="AF11" s="21">
        <f t="shared" si="15"/>
        <v>3</v>
      </c>
      <c r="AG11" s="117">
        <f t="shared" si="13"/>
        <v>0.0625</v>
      </c>
      <c r="AH11" s="115">
        <f>SUM(Y$7:Y10)-SUM(Y11:Y$124)</f>
        <v>-15584.007787513705</v>
      </c>
      <c r="AI11" s="115">
        <f>-SUM(Z$7:Z10)+SUM(Z11:Z$124)</f>
        <v>578050.1854674532</v>
      </c>
      <c r="AJ11" s="115">
        <f t="shared" si="8"/>
        <v>15584.007787513705</v>
      </c>
      <c r="AK11" s="115">
        <f t="shared" si="9"/>
        <v>-578050.1854674532</v>
      </c>
      <c r="AL11" s="104">
        <f t="shared" si="14"/>
        <v>-37.092524166383015</v>
      </c>
    </row>
    <row r="12" spans="1:38" ht="15.75" customHeight="1">
      <c r="A12" s="360" t="s">
        <v>493</v>
      </c>
      <c r="B12" s="181" t="s">
        <v>503</v>
      </c>
      <c r="C12" s="25" t="s">
        <v>498</v>
      </c>
      <c r="D12" s="191">
        <v>30</v>
      </c>
      <c r="E12" s="316" t="s">
        <v>123</v>
      </c>
      <c r="F12" s="175"/>
      <c r="G12" s="310"/>
      <c r="H12" s="186" t="s">
        <v>579</v>
      </c>
      <c r="I12" s="194" t="s">
        <v>351</v>
      </c>
      <c r="J12" s="136">
        <f>IF((0.61-0.01*L$4)&gt;0.93,0.93,(0.61-0.01*L$4))</f>
        <v>0.25999999999999995</v>
      </c>
      <c r="K12" s="158">
        <f>IF((J12*1.25)&gt;0.93,0.93,(J12*1.25))</f>
        <v>0.32499999999999996</v>
      </c>
      <c r="L12" s="194" t="s">
        <v>357</v>
      </c>
      <c r="M12" s="159">
        <f t="shared" si="10"/>
        <v>5.384615384615385</v>
      </c>
      <c r="N12" s="116">
        <f t="shared" si="10"/>
        <v>4.307692307692308</v>
      </c>
      <c r="P12" s="21">
        <f t="shared" si="11"/>
        <v>6</v>
      </c>
      <c r="Q12" s="21">
        <f t="shared" si="12"/>
        <v>5.5</v>
      </c>
      <c r="R12" s="21">
        <v>1</v>
      </c>
      <c r="S12" s="27">
        <f t="shared" si="4"/>
        <v>4.5</v>
      </c>
      <c r="T12" s="27">
        <f t="shared" si="5"/>
        <v>0</v>
      </c>
      <c r="U12" s="27">
        <f t="shared" si="0"/>
        <v>0</v>
      </c>
      <c r="V12" s="27">
        <f t="shared" si="1"/>
        <v>0</v>
      </c>
      <c r="W12" s="116">
        <f t="shared" si="6"/>
        <v>4.5</v>
      </c>
      <c r="X12" s="116">
        <f>'Soil Profile'!N42</f>
        <v>5.928307602244107</v>
      </c>
      <c r="Y12" s="104">
        <f t="shared" si="2"/>
        <v>26.67738421009848</v>
      </c>
      <c r="Z12" s="206">
        <f t="shared" si="3"/>
        <v>146.72561315554165</v>
      </c>
      <c r="AA12" s="208"/>
      <c r="AB12" s="202">
        <f t="shared" si="7"/>
        <v>680.2732973575113</v>
      </c>
      <c r="AC12" s="104">
        <f>IF(Q12=-$D$35,+(SUM(AB$7:AB11)-SUM(AB13:AB$114))/(Q12+$D$35+0.0001),+(SUM(AB$7:AB11)-SUM(AB13:AB$114))/(Q12+$D$35))</f>
        <v>-34822.766562165474</v>
      </c>
      <c r="AD12" s="104">
        <f>IF(ABS(AC12)&lt;Y12,SUM(Y$7:Y11)-AC12-SUM(Y13:Y$114),0)</f>
        <v>0</v>
      </c>
      <c r="AF12" s="21">
        <f t="shared" si="15"/>
        <v>4</v>
      </c>
      <c r="AG12" s="117">
        <f t="shared" si="13"/>
        <v>0.08333333333333333</v>
      </c>
      <c r="AH12" s="115">
        <f>SUM(Y$7:Y11)-SUM(Y12:Y$124)</f>
        <v>-15540.353886078998</v>
      </c>
      <c r="AI12" s="115">
        <f>-SUM(Z$7:Z11)+SUM(Z12:Z$124)</f>
        <v>577853.742910997</v>
      </c>
      <c r="AJ12" s="115">
        <f t="shared" si="8"/>
        <v>15540.353886078998</v>
      </c>
      <c r="AK12" s="115">
        <f t="shared" si="9"/>
        <v>-577853.742910997</v>
      </c>
      <c r="AL12" s="104">
        <f t="shared" si="14"/>
        <v>-37.184078763395256</v>
      </c>
    </row>
    <row r="13" spans="1:38" ht="15.75" customHeight="1">
      <c r="A13" s="360"/>
      <c r="B13" s="181" t="s">
        <v>502</v>
      </c>
      <c r="C13" s="25" t="s">
        <v>498</v>
      </c>
      <c r="D13" s="191">
        <v>48</v>
      </c>
      <c r="E13" s="316"/>
      <c r="F13" s="175"/>
      <c r="G13" s="310"/>
      <c r="H13" s="186" t="s">
        <v>580</v>
      </c>
      <c r="I13" s="194" t="s">
        <v>352</v>
      </c>
      <c r="J13" s="136">
        <f>IF((0.82-0.01*L$4)&gt;0.93,0.93,(0.82-0.01*L$4))</f>
        <v>0.4699999999999999</v>
      </c>
      <c r="K13" s="158">
        <f>IF((J13*1.25)&gt;0.93,0.93,(J13*1.25))</f>
        <v>0.5874999999999999</v>
      </c>
      <c r="L13" s="194" t="s">
        <v>358</v>
      </c>
      <c r="M13" s="159">
        <f t="shared" si="10"/>
        <v>2.9787234042553195</v>
      </c>
      <c r="N13" s="116">
        <f t="shared" si="10"/>
        <v>2.3829787234042556</v>
      </c>
      <c r="P13" s="21">
        <f t="shared" si="11"/>
        <v>7</v>
      </c>
      <c r="Q13" s="21">
        <f t="shared" si="12"/>
        <v>6.5</v>
      </c>
      <c r="R13" s="21">
        <v>1</v>
      </c>
      <c r="S13" s="27">
        <f t="shared" si="4"/>
        <v>4.5</v>
      </c>
      <c r="T13" s="27">
        <f t="shared" si="5"/>
        <v>0</v>
      </c>
      <c r="U13" s="27">
        <f t="shared" si="0"/>
        <v>0</v>
      </c>
      <c r="V13" s="27">
        <f t="shared" si="1"/>
        <v>0</v>
      </c>
      <c r="W13" s="116">
        <f t="shared" si="6"/>
        <v>4.5</v>
      </c>
      <c r="X13" s="116">
        <f>'Soil Profile'!N43</f>
        <v>7.006181711743035</v>
      </c>
      <c r="Y13" s="104">
        <f t="shared" si="2"/>
        <v>31.527817702843656</v>
      </c>
      <c r="Z13" s="206">
        <f t="shared" si="3"/>
        <v>204.93081506848375</v>
      </c>
      <c r="AA13" s="208"/>
      <c r="AB13" s="202">
        <f t="shared" si="7"/>
        <v>835.4871691253569</v>
      </c>
      <c r="AC13" s="104">
        <f>IF(Q13=-$D$35,+(SUM(AB$7:AB12)-SUM(AB14:AB$114))/(Q13+$D$35+0.0001),+(SUM(AB$7:AB12)-SUM(AB14:AB$114))/(Q13+$D$35))</f>
        <v>-33451.50139127309</v>
      </c>
      <c r="AD13" s="104">
        <f>IF(ABS(AC13)&lt;Y13,SUM(Y$7:Y12)-AC13-SUM(Y14:Y$114),0)</f>
        <v>0</v>
      </c>
      <c r="AF13" s="21">
        <f t="shared" si="15"/>
        <v>5</v>
      </c>
      <c r="AG13" s="117">
        <f t="shared" si="13"/>
        <v>0.10416666666666667</v>
      </c>
      <c r="AH13" s="115">
        <f>SUM(Y$7:Y12)-SUM(Y13:Y$124)</f>
        <v>-15486.999117658805</v>
      </c>
      <c r="AI13" s="115">
        <f>-SUM(Z$7:Z12)+SUM(Z13:Z$124)</f>
        <v>577560.291684686</v>
      </c>
      <c r="AJ13" s="115">
        <f t="shared" si="8"/>
        <v>15486.999117658805</v>
      </c>
      <c r="AK13" s="115">
        <f t="shared" si="9"/>
        <v>-577560.291684686</v>
      </c>
      <c r="AL13" s="104">
        <f t="shared" si="14"/>
        <v>-37.293234621943775</v>
      </c>
    </row>
    <row r="14" spans="1:38" ht="15.75" customHeight="1">
      <c r="A14" s="360"/>
      <c r="B14" s="181" t="s">
        <v>99</v>
      </c>
      <c r="C14" s="25" t="s">
        <v>497</v>
      </c>
      <c r="D14" s="191">
        <v>24</v>
      </c>
      <c r="E14" s="316"/>
      <c r="F14" s="175"/>
      <c r="G14" s="311"/>
      <c r="H14" s="186" t="s">
        <v>562</v>
      </c>
      <c r="I14" s="445">
        <v>0.56</v>
      </c>
      <c r="J14" s="446"/>
      <c r="K14" s="41">
        <f aca="true" t="shared" si="16" ref="K14:K21">+I14*1.25</f>
        <v>0.7000000000000001</v>
      </c>
      <c r="L14" s="445">
        <v>2.5</v>
      </c>
      <c r="M14" s="446"/>
      <c r="N14" s="160">
        <f aca="true" t="shared" si="17" ref="N14:N21">+L14*0.8</f>
        <v>2</v>
      </c>
      <c r="P14" s="21">
        <f t="shared" si="11"/>
        <v>8</v>
      </c>
      <c r="Q14" s="21">
        <f t="shared" si="12"/>
        <v>7.5</v>
      </c>
      <c r="R14" s="21">
        <v>1</v>
      </c>
      <c r="S14" s="27">
        <f t="shared" si="4"/>
        <v>4.5</v>
      </c>
      <c r="T14" s="27">
        <f t="shared" si="5"/>
        <v>0</v>
      </c>
      <c r="U14" s="27">
        <f t="shared" si="0"/>
        <v>0</v>
      </c>
      <c r="V14" s="27">
        <f t="shared" si="1"/>
        <v>0</v>
      </c>
      <c r="W14" s="116">
        <f t="shared" si="6"/>
        <v>4.5</v>
      </c>
      <c r="X14" s="116">
        <f>'Soil Profile'!N44</f>
        <v>8.084055821241964</v>
      </c>
      <c r="Y14" s="104">
        <f t="shared" si="2"/>
        <v>36.37825119558884</v>
      </c>
      <c r="Z14" s="206">
        <f t="shared" si="3"/>
        <v>272.8368839669163</v>
      </c>
      <c r="AA14" s="208"/>
      <c r="AB14" s="202">
        <f t="shared" si="7"/>
        <v>1000.401907878693</v>
      </c>
      <c r="AC14" s="104">
        <f>IF(Q14=-$D$35,+(SUM(AB$7:AB13)-SUM(AB15:AB$114))/(Q14+$D$35+0.0001),+(SUM(AB$7:AB13)-SUM(AB15:AB$114))/(Q14+$D$35))</f>
        <v>-32168.323556063006</v>
      </c>
      <c r="AD14" s="104">
        <f>IF(ABS(AC14)&lt;Y14,SUM(Y$7:Y13)-AC14-SUM(Y15:Y$114),0)</f>
        <v>0</v>
      </c>
      <c r="AF14" s="21">
        <f t="shared" si="15"/>
        <v>6</v>
      </c>
      <c r="AG14" s="117">
        <f t="shared" si="13"/>
        <v>0.125</v>
      </c>
      <c r="AH14" s="115">
        <f>SUM(Y$7:Y13)-SUM(Y14:Y$124)</f>
        <v>-15423.943482253115</v>
      </c>
      <c r="AI14" s="115">
        <f>-SUM(Z$7:Z13)+SUM(Z14:Z$124)</f>
        <v>577150.4300545489</v>
      </c>
      <c r="AJ14" s="115">
        <f t="shared" si="8"/>
        <v>15423.943482253115</v>
      </c>
      <c r="AK14" s="115">
        <f t="shared" si="9"/>
        <v>-577150.4300545489</v>
      </c>
      <c r="AL14" s="104">
        <f t="shared" si="14"/>
        <v>-37.419122464927455</v>
      </c>
    </row>
    <row r="15" spans="1:38" ht="15.75" customHeight="1">
      <c r="A15" s="360" t="s">
        <v>508</v>
      </c>
      <c r="B15" s="181" t="s">
        <v>503</v>
      </c>
      <c r="C15" s="25" t="s">
        <v>498</v>
      </c>
      <c r="D15" s="191">
        <v>0</v>
      </c>
      <c r="E15" s="316" t="s">
        <v>124</v>
      </c>
      <c r="F15" s="175"/>
      <c r="G15" s="464" t="s">
        <v>556</v>
      </c>
      <c r="H15" s="186" t="s">
        <v>591</v>
      </c>
      <c r="I15" s="445">
        <v>0.68</v>
      </c>
      <c r="J15" s="446"/>
      <c r="K15" s="41">
        <f t="shared" si="16"/>
        <v>0.8500000000000001</v>
      </c>
      <c r="L15" s="445">
        <v>2.1</v>
      </c>
      <c r="M15" s="446"/>
      <c r="N15" s="160">
        <f t="shared" si="17"/>
        <v>1.6800000000000002</v>
      </c>
      <c r="P15" s="21">
        <f t="shared" si="11"/>
        <v>9</v>
      </c>
      <c r="Q15" s="21">
        <f t="shared" si="12"/>
        <v>8.5</v>
      </c>
      <c r="R15" s="21">
        <v>1</v>
      </c>
      <c r="S15" s="27">
        <f t="shared" si="4"/>
        <v>4.5</v>
      </c>
      <c r="T15" s="27">
        <f t="shared" si="5"/>
        <v>0</v>
      </c>
      <c r="U15" s="27">
        <f t="shared" si="0"/>
        <v>0</v>
      </c>
      <c r="V15" s="27">
        <f t="shared" si="1"/>
        <v>0</v>
      </c>
      <c r="W15" s="116">
        <f t="shared" si="6"/>
        <v>4.5</v>
      </c>
      <c r="X15" s="116">
        <f>'Soil Profile'!N45</f>
        <v>9.161929930740893</v>
      </c>
      <c r="Y15" s="104">
        <f t="shared" si="2"/>
        <v>41.22868468833402</v>
      </c>
      <c r="Z15" s="206">
        <f t="shared" si="3"/>
        <v>350.4438198508392</v>
      </c>
      <c r="AA15" s="208"/>
      <c r="AB15" s="202">
        <f t="shared" si="7"/>
        <v>1175.0175136175196</v>
      </c>
      <c r="AC15" s="104">
        <f>IF(Q15=-$D$35,+(SUM(AB$7:AB14)-SUM(AB16:AB$114))/(Q15+$D$35+0.0001),+(SUM(AB$7:AB14)-SUM(AB16:AB$114))/(Q15+$D$35))</f>
        <v>-30963.279942815316</v>
      </c>
      <c r="AD15" s="104">
        <f>IF(ABS(AC15)&lt;Y15,SUM(Y$7:Y14)-AC15-SUM(Y16:Y$114),0)</f>
        <v>0</v>
      </c>
      <c r="AF15" s="21">
        <f t="shared" si="15"/>
        <v>7</v>
      </c>
      <c r="AG15" s="117">
        <f t="shared" si="13"/>
        <v>0.14583333333333334</v>
      </c>
      <c r="AH15" s="115">
        <f>SUM(Y$7:Y14)-SUM(Y15:Y$124)</f>
        <v>-15351.186979861935</v>
      </c>
      <c r="AI15" s="115">
        <f>-SUM(Z$7:Z14)+SUM(Z15:Z$124)</f>
        <v>576604.756286615</v>
      </c>
      <c r="AJ15" s="115">
        <f t="shared" si="8"/>
        <v>15351.186979861935</v>
      </c>
      <c r="AK15" s="115">
        <f t="shared" si="9"/>
        <v>-576604.756286615</v>
      </c>
      <c r="AL15" s="104">
        <f t="shared" si="14"/>
        <v>-37.560923272123475</v>
      </c>
    </row>
    <row r="16" spans="1:38" ht="15.75" customHeight="1">
      <c r="A16" s="360"/>
      <c r="B16" s="181" t="s">
        <v>502</v>
      </c>
      <c r="C16" s="25" t="s">
        <v>498</v>
      </c>
      <c r="D16" s="191">
        <v>0</v>
      </c>
      <c r="E16" s="316"/>
      <c r="G16" s="465"/>
      <c r="H16" s="186" t="s">
        <v>17</v>
      </c>
      <c r="I16" s="445">
        <v>0.68</v>
      </c>
      <c r="J16" s="446"/>
      <c r="K16" s="41">
        <f t="shared" si="16"/>
        <v>0.8500000000000001</v>
      </c>
      <c r="L16" s="445">
        <v>2.1</v>
      </c>
      <c r="M16" s="446"/>
      <c r="N16" s="160">
        <f t="shared" si="17"/>
        <v>1.6800000000000002</v>
      </c>
      <c r="P16" s="21">
        <f t="shared" si="11"/>
        <v>10</v>
      </c>
      <c r="Q16" s="21">
        <f t="shared" si="12"/>
        <v>9.5</v>
      </c>
      <c r="R16" s="21">
        <v>1</v>
      </c>
      <c r="S16" s="27">
        <f t="shared" si="4"/>
        <v>4.5</v>
      </c>
      <c r="T16" s="27">
        <f t="shared" si="5"/>
        <v>0</v>
      </c>
      <c r="U16" s="27">
        <f t="shared" si="0"/>
        <v>0</v>
      </c>
      <c r="V16" s="27">
        <f t="shared" si="1"/>
        <v>0</v>
      </c>
      <c r="W16" s="116">
        <f t="shared" si="6"/>
        <v>4.5</v>
      </c>
      <c r="X16" s="116">
        <f>'Soil Profile'!N46</f>
        <v>10.239804040239822</v>
      </c>
      <c r="Y16" s="104">
        <f t="shared" si="2"/>
        <v>46.079118181079195</v>
      </c>
      <c r="Z16" s="206">
        <f t="shared" si="3"/>
        <v>437.7516227202524</v>
      </c>
      <c r="AA16" s="208"/>
      <c r="AB16" s="202">
        <f t="shared" si="7"/>
        <v>1359.3339863418362</v>
      </c>
      <c r="AC16" s="104">
        <f>IF(Q16=-$D$35,+(SUM(AB$7:AB15)-SUM(AB17:AB$114))/(Q16+$D$35+0.0001),+(SUM(AB$7:AB15)-SUM(AB17:AB$114))/(Q16+$D$35))</f>
        <v>-29827.767012551765</v>
      </c>
      <c r="AD16" s="104">
        <f>IF(ABS(AC16)&lt;Y16,SUM(Y$7:Y15)-AC16-SUM(Y17:Y$114),0)</f>
        <v>0</v>
      </c>
      <c r="AF16" s="21">
        <f t="shared" si="15"/>
        <v>8</v>
      </c>
      <c r="AG16" s="117">
        <f t="shared" si="13"/>
        <v>0.16666666666666666</v>
      </c>
      <c r="AH16" s="115">
        <f>SUM(Y$7:Y15)-SUM(Y16:Y$124)</f>
        <v>-15268.72961048527</v>
      </c>
      <c r="AI16" s="115">
        <f>-SUM(Z$7:Z15)+SUM(Z16:Z$124)</f>
        <v>575903.8686469134</v>
      </c>
      <c r="AJ16" s="115">
        <f t="shared" si="8"/>
        <v>15268.72961048527</v>
      </c>
      <c r="AK16" s="115">
        <f t="shared" si="9"/>
        <v>-575903.8686469134</v>
      </c>
      <c r="AL16" s="104">
        <f t="shared" si="14"/>
        <v>-37.717864114342</v>
      </c>
    </row>
    <row r="17" spans="1:38" ht="15.75" customHeight="1">
      <c r="A17" s="360"/>
      <c r="B17" s="181" t="s">
        <v>99</v>
      </c>
      <c r="C17" s="25" t="s">
        <v>497</v>
      </c>
      <c r="D17" s="191">
        <v>0</v>
      </c>
      <c r="E17" s="316"/>
      <c r="G17" s="465"/>
      <c r="H17" s="186" t="s">
        <v>18</v>
      </c>
      <c r="I17" s="445">
        <v>0.68</v>
      </c>
      <c r="J17" s="446"/>
      <c r="K17" s="41">
        <f t="shared" si="16"/>
        <v>0.8500000000000001</v>
      </c>
      <c r="L17" s="445">
        <v>2.1</v>
      </c>
      <c r="M17" s="446"/>
      <c r="N17" s="160">
        <f t="shared" si="17"/>
        <v>1.6800000000000002</v>
      </c>
      <c r="P17" s="21">
        <f t="shared" si="11"/>
        <v>11</v>
      </c>
      <c r="Q17" s="21">
        <f t="shared" si="12"/>
        <v>10.5</v>
      </c>
      <c r="R17" s="21">
        <v>1</v>
      </c>
      <c r="S17" s="27">
        <f t="shared" si="4"/>
        <v>4.5</v>
      </c>
      <c r="T17" s="27">
        <f t="shared" si="5"/>
        <v>0</v>
      </c>
      <c r="U17" s="27">
        <f t="shared" si="0"/>
        <v>0</v>
      </c>
      <c r="V17" s="27">
        <f t="shared" si="1"/>
        <v>0</v>
      </c>
      <c r="W17" s="116">
        <f t="shared" si="6"/>
        <v>4.5</v>
      </c>
      <c r="X17" s="116">
        <f>'Soil Profile'!N47</f>
        <v>11.317678149738748</v>
      </c>
      <c r="Y17" s="104">
        <f t="shared" si="2"/>
        <v>50.92955167382437</v>
      </c>
      <c r="Z17" s="206">
        <f t="shared" si="3"/>
        <v>534.7602925751559</v>
      </c>
      <c r="AA17" s="208"/>
      <c r="AB17" s="202">
        <f t="shared" si="7"/>
        <v>1553.3513260516434</v>
      </c>
      <c r="AC17" s="104">
        <f>IF(Q17=-$D$35,+(SUM(AB$7:AB16)-SUM(AB18:AB$114))/(Q17+$D$35+0.0001),+(SUM(AB$7:AB16)-SUM(AB18:AB$114))/(Q17+$D$35))</f>
        <v>-28754.309559274872</v>
      </c>
      <c r="AD17" s="104">
        <f>IF(ABS(AC17)&lt;Y17,SUM(Y$7:Y16)-AC17-SUM(Y18:Y$114),0)</f>
        <v>0</v>
      </c>
      <c r="AF17" s="21">
        <f t="shared" si="15"/>
        <v>9</v>
      </c>
      <c r="AG17" s="117">
        <f t="shared" si="13"/>
        <v>0.1875</v>
      </c>
      <c r="AH17" s="115">
        <f>SUM(Y$7:Y16)-SUM(Y17:Y$124)</f>
        <v>-15176.571374123112</v>
      </c>
      <c r="AI17" s="115">
        <f>-SUM(Z$7:Z16)+SUM(Z17:Z$124)</f>
        <v>575028.3654014729</v>
      </c>
      <c r="AJ17" s="115">
        <f t="shared" si="8"/>
        <v>15176.571374123112</v>
      </c>
      <c r="AK17" s="115">
        <f t="shared" si="9"/>
        <v>-575028.3654014729</v>
      </c>
      <c r="AL17" s="104">
        <f t="shared" si="14"/>
        <v>-37.88921431766386</v>
      </c>
    </row>
    <row r="18" spans="1:38" ht="15.75" customHeight="1">
      <c r="A18" s="487" t="s">
        <v>100</v>
      </c>
      <c r="B18" s="357"/>
      <c r="C18" s="357"/>
      <c r="D18" s="357"/>
      <c r="E18" s="357"/>
      <c r="F18" s="3"/>
      <c r="G18" s="465"/>
      <c r="H18" s="186" t="s">
        <v>19</v>
      </c>
      <c r="I18" s="445">
        <v>0.68</v>
      </c>
      <c r="J18" s="446"/>
      <c r="K18" s="41">
        <f t="shared" si="16"/>
        <v>0.8500000000000001</v>
      </c>
      <c r="L18" s="445">
        <v>2.1</v>
      </c>
      <c r="M18" s="446"/>
      <c r="N18" s="160">
        <f t="shared" si="17"/>
        <v>1.6800000000000002</v>
      </c>
      <c r="P18" s="21">
        <f t="shared" si="11"/>
        <v>12</v>
      </c>
      <c r="Q18" s="21">
        <f t="shared" si="12"/>
        <v>11.5</v>
      </c>
      <c r="R18" s="21">
        <v>1</v>
      </c>
      <c r="S18" s="27">
        <f t="shared" si="4"/>
        <v>4.5</v>
      </c>
      <c r="T18" s="27">
        <f t="shared" si="5"/>
        <v>0</v>
      </c>
      <c r="U18" s="27">
        <f t="shared" si="0"/>
        <v>0</v>
      </c>
      <c r="V18" s="27">
        <f t="shared" si="1"/>
        <v>0</v>
      </c>
      <c r="W18" s="116">
        <f t="shared" si="6"/>
        <v>4.5</v>
      </c>
      <c r="X18" s="116">
        <f>'Soil Profile'!N48</f>
        <v>12.395552259237677</v>
      </c>
      <c r="Y18" s="104">
        <f t="shared" si="2"/>
        <v>55.779985166569546</v>
      </c>
      <c r="Z18" s="206">
        <f t="shared" si="3"/>
        <v>641.4698294155497</v>
      </c>
      <c r="AA18" s="208"/>
      <c r="AB18" s="202">
        <f t="shared" si="7"/>
        <v>1757.0695327469407</v>
      </c>
      <c r="AC18" s="104">
        <f>IF(Q18=-$D$35,+(SUM(AB$7:AB17)-SUM(AB19:AB$114))/(Q18+$D$35+0.0001),+(SUM(AB$7:AB17)-SUM(AB19:AB$114))/(Q18+$D$35))</f>
        <v>-27736.38160949476</v>
      </c>
      <c r="AD18" s="104">
        <f>IF(ABS(AC18)&lt;Y18,SUM(Y$7:Y17)-AC18-SUM(Y19:Y$114),0)</f>
        <v>0</v>
      </c>
      <c r="AF18" s="21">
        <f t="shared" si="15"/>
        <v>10</v>
      </c>
      <c r="AG18" s="117">
        <f t="shared" si="13"/>
        <v>0.20833333333333334</v>
      </c>
      <c r="AH18" s="115">
        <f>SUM(Y$7:Y17)-SUM(Y18:Y$124)</f>
        <v>-15074.712270775464</v>
      </c>
      <c r="AI18" s="115">
        <f>-SUM(Z$7:Z17)+SUM(Z18:Z$124)</f>
        <v>573958.8448163227</v>
      </c>
      <c r="AJ18" s="115">
        <f t="shared" si="8"/>
        <v>15074.712270775464</v>
      </c>
      <c r="AK18" s="115">
        <f t="shared" si="9"/>
        <v>-573958.8448163227</v>
      </c>
      <c r="AL18" s="104">
        <f t="shared" si="14"/>
        <v>-38.074281917076846</v>
      </c>
    </row>
    <row r="19" spans="7:38" ht="15.75" customHeight="1">
      <c r="G19" s="465"/>
      <c r="H19" s="186" t="s">
        <v>581</v>
      </c>
      <c r="I19" s="445">
        <v>0.44</v>
      </c>
      <c r="J19" s="446"/>
      <c r="K19" s="41">
        <f t="shared" si="16"/>
        <v>0.55</v>
      </c>
      <c r="L19" s="445">
        <v>3.2</v>
      </c>
      <c r="M19" s="446"/>
      <c r="N19" s="160">
        <f t="shared" si="17"/>
        <v>2.5600000000000005</v>
      </c>
      <c r="P19" s="21">
        <f t="shared" si="11"/>
        <v>13</v>
      </c>
      <c r="Q19" s="21">
        <f t="shared" si="12"/>
        <v>12.5</v>
      </c>
      <c r="R19" s="21">
        <v>1</v>
      </c>
      <c r="S19" s="27">
        <f t="shared" si="4"/>
        <v>4.5</v>
      </c>
      <c r="T19" s="27">
        <f t="shared" si="5"/>
        <v>0</v>
      </c>
      <c r="U19" s="27">
        <f t="shared" si="0"/>
        <v>0</v>
      </c>
      <c r="V19" s="27">
        <f t="shared" si="1"/>
        <v>0</v>
      </c>
      <c r="W19" s="116">
        <f t="shared" si="6"/>
        <v>4.5</v>
      </c>
      <c r="X19" s="116">
        <f>'Soil Profile'!N49</f>
        <v>13.473426368736607</v>
      </c>
      <c r="Y19" s="104">
        <f t="shared" si="2"/>
        <v>60.630418659314735</v>
      </c>
      <c r="Z19" s="206">
        <f t="shared" si="3"/>
        <v>757.8802332414342</v>
      </c>
      <c r="AA19" s="208"/>
      <c r="AB19" s="202">
        <f t="shared" si="7"/>
        <v>1970.4886064277289</v>
      </c>
      <c r="AC19" s="104">
        <f>IF(Q19=-$D$35,+(SUM(AB$7:AB18)-SUM(AB20:AB$114))/(Q19+$D$35+0.0001),+(SUM(AB$7:AB18)-SUM(AB20:AB$114))/(Q19+$D$35))</f>
        <v>-26768.26038645878</v>
      </c>
      <c r="AD19" s="104">
        <f>IF(ABS(AC19)&lt;Y19,SUM(Y$7:Y18)-AC19-SUM(Y20:Y$114),0)</f>
        <v>0</v>
      </c>
      <c r="AF19" s="21">
        <f t="shared" si="15"/>
        <v>11</v>
      </c>
      <c r="AG19" s="117">
        <f t="shared" si="13"/>
        <v>0.22916666666666666</v>
      </c>
      <c r="AH19" s="115">
        <f>SUM(Y$7:Y18)-SUM(Y19:Y$124)</f>
        <v>-14963.152300442325</v>
      </c>
      <c r="AI19" s="115">
        <f>-SUM(Z$7:Z18)+SUM(Z19:Z$124)</f>
        <v>572675.9051574916</v>
      </c>
      <c r="AJ19" s="115">
        <f t="shared" si="8"/>
        <v>14963.152300442325</v>
      </c>
      <c r="AK19" s="115">
        <f t="shared" si="9"/>
        <v>-572675.9051574916</v>
      </c>
      <c r="AL19" s="104">
        <f t="shared" si="14"/>
        <v>-38.27241036239153</v>
      </c>
    </row>
    <row r="20" spans="1:38" ht="15.75" customHeight="1">
      <c r="A20" s="64" t="s">
        <v>192</v>
      </c>
      <c r="B20" s="198"/>
      <c r="C20" s="198"/>
      <c r="D20" s="198"/>
      <c r="E20" s="198"/>
      <c r="G20" s="465"/>
      <c r="H20" s="186" t="s">
        <v>582</v>
      </c>
      <c r="I20" s="445">
        <v>0.68</v>
      </c>
      <c r="J20" s="446"/>
      <c r="K20" s="41">
        <f t="shared" si="16"/>
        <v>0.8500000000000001</v>
      </c>
      <c r="L20" s="445">
        <v>2.1</v>
      </c>
      <c r="M20" s="446"/>
      <c r="N20" s="160">
        <f t="shared" si="17"/>
        <v>1.6800000000000002</v>
      </c>
      <c r="P20" s="21">
        <f t="shared" si="11"/>
        <v>14</v>
      </c>
      <c r="Q20" s="21">
        <f t="shared" si="12"/>
        <v>13.5</v>
      </c>
      <c r="R20" s="21">
        <v>1</v>
      </c>
      <c r="S20" s="27">
        <f t="shared" si="4"/>
        <v>4.5</v>
      </c>
      <c r="T20" s="27">
        <f t="shared" si="5"/>
        <v>0</v>
      </c>
      <c r="U20" s="27">
        <f t="shared" si="0"/>
        <v>0</v>
      </c>
      <c r="V20" s="27">
        <f t="shared" si="1"/>
        <v>0</v>
      </c>
      <c r="W20" s="116">
        <f t="shared" si="6"/>
        <v>4.5</v>
      </c>
      <c r="X20" s="116">
        <f>'Soil Profile'!N50</f>
        <v>14.551300478235536</v>
      </c>
      <c r="Y20" s="104">
        <f t="shared" si="2"/>
        <v>65.48085215205991</v>
      </c>
      <c r="Z20" s="206">
        <f t="shared" si="3"/>
        <v>883.9915040528088</v>
      </c>
      <c r="AA20" s="208"/>
      <c r="AB20" s="202">
        <f t="shared" si="7"/>
        <v>2193.608547094007</v>
      </c>
      <c r="AC20" s="104">
        <f>IF(Q20=-$D$35,+(SUM(AB$7:AB19)-SUM(AB21:AB$114))/(Q20+$D$35+0.0001),+(SUM(AB$7:AB19)-SUM(AB21:AB$114))/(Q20+$D$35))</f>
        <v>-25844.90643004145</v>
      </c>
      <c r="AD20" s="104">
        <f>IF(ABS(AC20)&lt;Y20,SUM(Y$7:Y19)-AC20-SUM(Y21:Y$114),0)</f>
        <v>0</v>
      </c>
      <c r="AF20" s="21">
        <f t="shared" si="15"/>
        <v>12</v>
      </c>
      <c r="AG20" s="117">
        <f t="shared" si="13"/>
        <v>0.25</v>
      </c>
      <c r="AH20" s="115">
        <f>SUM(Y$7:Y19)-SUM(Y20:Y$124)</f>
        <v>-14841.891463123695</v>
      </c>
      <c r="AI20" s="115">
        <f>-SUM(Z$7:Z19)+SUM(Z20:Z$124)</f>
        <v>571160.1446910086</v>
      </c>
      <c r="AJ20" s="115">
        <f t="shared" si="8"/>
        <v>14841.891463123695</v>
      </c>
      <c r="AK20" s="115">
        <f t="shared" si="9"/>
        <v>-571160.1446910086</v>
      </c>
      <c r="AL20" s="104">
        <f t="shared" si="14"/>
        <v>-38.482975442187985</v>
      </c>
    </row>
    <row r="21" spans="1:38" ht="15.75" customHeight="1">
      <c r="A21" s="51" t="s">
        <v>512</v>
      </c>
      <c r="B21" s="161" t="s">
        <v>515</v>
      </c>
      <c r="C21" s="51" t="s">
        <v>496</v>
      </c>
      <c r="D21" s="51" t="s">
        <v>504</v>
      </c>
      <c r="E21" s="51" t="s">
        <v>506</v>
      </c>
      <c r="G21" s="466"/>
      <c r="H21" s="186" t="s">
        <v>562</v>
      </c>
      <c r="I21" s="445">
        <v>0.68</v>
      </c>
      <c r="J21" s="446"/>
      <c r="K21" s="41">
        <f t="shared" si="16"/>
        <v>0.8500000000000001</v>
      </c>
      <c r="L21" s="445">
        <v>2.1</v>
      </c>
      <c r="M21" s="446"/>
      <c r="N21" s="160">
        <f t="shared" si="17"/>
        <v>1.6800000000000002</v>
      </c>
      <c r="P21" s="21">
        <f t="shared" si="11"/>
        <v>15</v>
      </c>
      <c r="Q21" s="21">
        <f t="shared" si="12"/>
        <v>14.5</v>
      </c>
      <c r="R21" s="21">
        <v>1</v>
      </c>
      <c r="S21" s="27">
        <f t="shared" si="4"/>
        <v>4.5</v>
      </c>
      <c r="T21" s="27">
        <f t="shared" si="5"/>
        <v>0</v>
      </c>
      <c r="U21" s="27">
        <f t="shared" si="0"/>
        <v>0</v>
      </c>
      <c r="V21" s="27">
        <f t="shared" si="1"/>
        <v>0</v>
      </c>
      <c r="W21" s="116">
        <f t="shared" si="6"/>
        <v>4.5</v>
      </c>
      <c r="X21" s="116">
        <f>'Soil Profile'!N51</f>
        <v>15.629174587734463</v>
      </c>
      <c r="Y21" s="104">
        <f t="shared" si="2"/>
        <v>70.33128564480508</v>
      </c>
      <c r="Z21" s="206">
        <f t="shared" si="3"/>
        <v>1019.8036418496737</v>
      </c>
      <c r="AA21" s="208"/>
      <c r="AB21" s="202">
        <f t="shared" si="7"/>
        <v>2426.429354745775</v>
      </c>
      <c r="AC21" s="104">
        <f>IF(Q21=-$D$35,+(SUM(AB$7:AB20)-SUM(AB22:AB$114))/(Q21+$D$35+0.0001),+(SUM(AB$7:AB20)-SUM(AB22:AB$114))/(Q21+$D$35))</f>
        <v>-24961.864565349242</v>
      </c>
      <c r="AD21" s="104">
        <f>IF(ABS(AC21)&lt;Y21,SUM(Y$7:Y20)-AC21-SUM(Y22:Y$114),0)</f>
        <v>0</v>
      </c>
      <c r="AF21" s="21">
        <f t="shared" si="15"/>
        <v>13</v>
      </c>
      <c r="AG21" s="117">
        <f t="shared" si="13"/>
        <v>0.2708333333333333</v>
      </c>
      <c r="AH21" s="115">
        <f>SUM(Y$7:Y20)-SUM(Y21:Y$124)</f>
        <v>-14710.929758819573</v>
      </c>
      <c r="AI21" s="115">
        <f>-SUM(Z$7:Z20)+SUM(Z21:Z$124)</f>
        <v>569392.1616829031</v>
      </c>
      <c r="AJ21" s="115">
        <f t="shared" si="8"/>
        <v>14710.929758819573</v>
      </c>
      <c r="AK21" s="115">
        <f t="shared" si="9"/>
        <v>-569392.1616829031</v>
      </c>
      <c r="AL21" s="104">
        <f t="shared" si="14"/>
        <v>-38.70538239376326</v>
      </c>
    </row>
    <row r="22" spans="1:38" ht="15.75" customHeight="1">
      <c r="A22" s="360" t="s">
        <v>513</v>
      </c>
      <c r="B22" s="181" t="s">
        <v>186</v>
      </c>
      <c r="C22" s="20" t="s">
        <v>511</v>
      </c>
      <c r="D22" s="52">
        <v>10000</v>
      </c>
      <c r="E22" s="316" t="s">
        <v>193</v>
      </c>
      <c r="G22" s="428" t="s">
        <v>406</v>
      </c>
      <c r="H22" s="378"/>
      <c r="I22" s="378"/>
      <c r="J22" s="378"/>
      <c r="K22" s="378"/>
      <c r="L22" s="378"/>
      <c r="M22" s="378"/>
      <c r="N22" s="379"/>
      <c r="O22" s="239"/>
      <c r="P22" s="21">
        <f t="shared" si="11"/>
        <v>16</v>
      </c>
      <c r="Q22" s="21">
        <f t="shared" si="12"/>
        <v>15.5</v>
      </c>
      <c r="R22" s="21">
        <v>1</v>
      </c>
      <c r="S22" s="27">
        <f t="shared" si="4"/>
        <v>4.5</v>
      </c>
      <c r="T22" s="27">
        <f t="shared" si="5"/>
        <v>0</v>
      </c>
      <c r="U22" s="27">
        <f t="shared" si="0"/>
        <v>0</v>
      </c>
      <c r="V22" s="27">
        <f t="shared" si="1"/>
        <v>0</v>
      </c>
      <c r="W22" s="116">
        <f t="shared" si="6"/>
        <v>4.5</v>
      </c>
      <c r="X22" s="116">
        <f>'Soil Profile'!N52</f>
        <v>16.707048697233393</v>
      </c>
      <c r="Y22" s="104">
        <f t="shared" si="2"/>
        <v>75.18171913755027</v>
      </c>
      <c r="Z22" s="206">
        <f t="shared" si="3"/>
        <v>1165.3166466320292</v>
      </c>
      <c r="AA22" s="208"/>
      <c r="AB22" s="202">
        <f t="shared" si="7"/>
        <v>2668.951029383035</v>
      </c>
      <c r="AC22" s="104">
        <f>IF(Q22=-$D$35,+(SUM(AB$7:AB21)-SUM(AB23:AB$114))/(Q22+$D$35+0.0001),+(SUM(AB$7:AB21)-SUM(AB23:AB$114))/(Q22+$D$35))</f>
        <v>-24115.181609025916</v>
      </c>
      <c r="AD22" s="104">
        <f>IF(ABS(AC22)&lt;Y22,SUM(Y$7:Y21)-AC22-SUM(Y23:Y$114),0)</f>
        <v>0</v>
      </c>
      <c r="AF22" s="21">
        <f t="shared" si="15"/>
        <v>14</v>
      </c>
      <c r="AG22" s="117">
        <f t="shared" si="13"/>
        <v>0.2916666666666667</v>
      </c>
      <c r="AH22" s="115">
        <f>SUM(Y$7:Y21)-SUM(Y22:Y$124)</f>
        <v>-14570.267187529962</v>
      </c>
      <c r="AI22" s="115">
        <f>-SUM(Z$7:Z21)+SUM(Z22:Z$124)</f>
        <v>567352.5543992037</v>
      </c>
      <c r="AJ22" s="115">
        <f t="shared" si="8"/>
        <v>14570.267187529962</v>
      </c>
      <c r="AK22" s="115">
        <f t="shared" si="9"/>
        <v>-567352.5543992037</v>
      </c>
      <c r="AL22" s="104">
        <f t="shared" si="14"/>
        <v>-38.939063168640814</v>
      </c>
    </row>
    <row r="23" spans="1:38" ht="15.75" customHeight="1">
      <c r="A23" s="360"/>
      <c r="B23" s="181" t="s">
        <v>187</v>
      </c>
      <c r="C23" s="20" t="s">
        <v>509</v>
      </c>
      <c r="D23" s="52">
        <v>500</v>
      </c>
      <c r="E23" s="316"/>
      <c r="G23" s="420" t="s">
        <v>359</v>
      </c>
      <c r="H23" s="429"/>
      <c r="I23" s="429"/>
      <c r="J23" s="429"/>
      <c r="K23" s="429"/>
      <c r="L23" s="429"/>
      <c r="M23" s="429"/>
      <c r="N23" s="430"/>
      <c r="O23" s="239"/>
      <c r="P23" s="21">
        <f t="shared" si="11"/>
        <v>17</v>
      </c>
      <c r="Q23" s="21">
        <f t="shared" si="12"/>
        <v>16.5</v>
      </c>
      <c r="R23" s="21">
        <v>1</v>
      </c>
      <c r="S23" s="27">
        <f t="shared" si="4"/>
        <v>4.5</v>
      </c>
      <c r="T23" s="27">
        <f t="shared" si="5"/>
        <v>0</v>
      </c>
      <c r="U23" s="27">
        <f t="shared" si="0"/>
        <v>0</v>
      </c>
      <c r="V23" s="27">
        <f t="shared" si="1"/>
        <v>0</v>
      </c>
      <c r="W23" s="116">
        <f t="shared" si="6"/>
        <v>4.5</v>
      </c>
      <c r="X23" s="116">
        <f>'Soil Profile'!N53</f>
        <v>17.78492280673232</v>
      </c>
      <c r="Y23" s="104">
        <f t="shared" si="2"/>
        <v>80.03215263029544</v>
      </c>
      <c r="Z23" s="206">
        <f t="shared" si="3"/>
        <v>1320.5305183998748</v>
      </c>
      <c r="AA23" s="208"/>
      <c r="AB23" s="202">
        <f t="shared" si="7"/>
        <v>2921.1735710057837</v>
      </c>
      <c r="AC23" s="104">
        <f>IF(Q23=-$D$35,+(SUM(AB$7:AB22)-SUM(AB24:AB$114))/(Q23+$D$35+0.0001),+(SUM(AB$7:AB22)-SUM(AB24:AB$114))/(Q23+$D$35))</f>
        <v>-23301.337603288524</v>
      </c>
      <c r="AD23" s="104">
        <f>IF(ABS(AC23)&lt;Y23,SUM(Y$7:Y22)-AC23-SUM(Y24:Y$114),0)</f>
        <v>0</v>
      </c>
      <c r="AF23" s="21">
        <f t="shared" si="15"/>
        <v>15</v>
      </c>
      <c r="AG23" s="117">
        <f t="shared" si="13"/>
        <v>0.3125</v>
      </c>
      <c r="AH23" s="115">
        <f>SUM(Y$7:Y22)-SUM(Y23:Y$124)</f>
        <v>-14419.903749254863</v>
      </c>
      <c r="AI23" s="115">
        <f>-SUM(Z$7:Z22)+SUM(Z23:Z$124)</f>
        <v>565021.9211059397</v>
      </c>
      <c r="AJ23" s="115">
        <f t="shared" si="8"/>
        <v>14419.903749254863</v>
      </c>
      <c r="AK23" s="115">
        <f t="shared" si="9"/>
        <v>-565021.9211059397</v>
      </c>
      <c r="AL23" s="104">
        <f t="shared" si="14"/>
        <v>-39.18347382416729</v>
      </c>
    </row>
    <row r="24" spans="1:38" ht="15.75" customHeight="1">
      <c r="A24" s="360"/>
      <c r="B24" s="181" t="s">
        <v>188</v>
      </c>
      <c r="C24" s="20" t="s">
        <v>30</v>
      </c>
      <c r="D24" s="52">
        <v>2.38</v>
      </c>
      <c r="E24" s="54" t="s">
        <v>101</v>
      </c>
      <c r="G24" s="431" t="s">
        <v>360</v>
      </c>
      <c r="H24" s="381"/>
      <c r="I24" s="381"/>
      <c r="J24" s="381"/>
      <c r="K24" s="381"/>
      <c r="L24" s="381"/>
      <c r="M24" s="381"/>
      <c r="N24" s="382"/>
      <c r="O24" s="238"/>
      <c r="P24" s="21">
        <f t="shared" si="11"/>
        <v>18</v>
      </c>
      <c r="Q24" s="21">
        <f t="shared" si="12"/>
        <v>17.5</v>
      </c>
      <c r="R24" s="21">
        <v>1</v>
      </c>
      <c r="S24" s="27">
        <f t="shared" si="4"/>
        <v>4.5</v>
      </c>
      <c r="T24" s="27">
        <f t="shared" si="5"/>
        <v>0</v>
      </c>
      <c r="U24" s="27">
        <f t="shared" si="0"/>
        <v>0</v>
      </c>
      <c r="V24" s="27">
        <f t="shared" si="1"/>
        <v>0</v>
      </c>
      <c r="W24" s="116">
        <f t="shared" si="6"/>
        <v>4.5</v>
      </c>
      <c r="X24" s="116">
        <f>'Soil Profile'!N54</f>
        <v>18.862796916231247</v>
      </c>
      <c r="Y24" s="104">
        <f t="shared" si="2"/>
        <v>84.88258612304061</v>
      </c>
      <c r="Z24" s="206">
        <f t="shared" si="3"/>
        <v>1485.4452571532106</v>
      </c>
      <c r="AA24" s="208"/>
      <c r="AB24" s="202">
        <f t="shared" si="7"/>
        <v>3183.096979614023</v>
      </c>
      <c r="AC24" s="104">
        <f>IF(Q24=-$D$35,+(SUM(AB$7:AB23)-SUM(AB25:AB$114))/(Q24+$D$35+0.0001),+(SUM(AB$7:AB23)-SUM(AB25:AB$114))/(Q24+$D$35))</f>
        <v>-22517.18805251764</v>
      </c>
      <c r="AD24" s="104">
        <f>IF(ABS(AC24)&lt;Y24,SUM(Y$7:Y23)-AC24-SUM(Y25:Y$114),0)</f>
        <v>0</v>
      </c>
      <c r="AF24" s="21">
        <f t="shared" si="15"/>
        <v>16</v>
      </c>
      <c r="AG24" s="117">
        <f t="shared" si="13"/>
        <v>0.3333333333333333</v>
      </c>
      <c r="AH24" s="115">
        <f>SUM(Y$7:Y23)-SUM(Y24:Y$124)</f>
        <v>-14259.839443994275</v>
      </c>
      <c r="AI24" s="115">
        <f>-SUM(Z$7:Z23)+SUM(Z24:Z$124)</f>
        <v>562380.8600691399</v>
      </c>
      <c r="AJ24" s="115">
        <f t="shared" si="8"/>
        <v>14259.839443994275</v>
      </c>
      <c r="AK24" s="115">
        <f t="shared" si="9"/>
        <v>-562380.8600691399</v>
      </c>
      <c r="AL24" s="104">
        <f t="shared" si="14"/>
        <v>-39.43809201203834</v>
      </c>
    </row>
    <row r="25" spans="1:38" ht="15.75" customHeight="1">
      <c r="A25" s="357"/>
      <c r="B25" s="181" t="s">
        <v>102</v>
      </c>
      <c r="C25" s="20" t="s">
        <v>511</v>
      </c>
      <c r="D25" s="115">
        <f>$AI$8/D24</f>
        <v>242963.82507317164</v>
      </c>
      <c r="E25" s="54" t="s">
        <v>105</v>
      </c>
      <c r="P25" s="21">
        <f t="shared" si="11"/>
        <v>19</v>
      </c>
      <c r="Q25" s="21">
        <f t="shared" si="12"/>
        <v>18.5</v>
      </c>
      <c r="R25" s="21">
        <v>1</v>
      </c>
      <c r="S25" s="27">
        <f t="shared" si="4"/>
        <v>4.5</v>
      </c>
      <c r="T25" s="27">
        <f t="shared" si="5"/>
        <v>0</v>
      </c>
      <c r="U25" s="27">
        <f t="shared" si="0"/>
        <v>0</v>
      </c>
      <c r="V25" s="27">
        <f t="shared" si="1"/>
        <v>0</v>
      </c>
      <c r="W25" s="116">
        <f t="shared" si="6"/>
        <v>4.5</v>
      </c>
      <c r="X25" s="116">
        <f>'Soil Profile'!N55</f>
        <v>19.94067102573018</v>
      </c>
      <c r="Y25" s="104">
        <f t="shared" si="2"/>
        <v>89.7330196157858</v>
      </c>
      <c r="Z25" s="206">
        <f t="shared" si="3"/>
        <v>1660.0608628920374</v>
      </c>
      <c r="AA25" s="208"/>
      <c r="AB25" s="202">
        <f t="shared" si="7"/>
        <v>3454.7212552077535</v>
      </c>
      <c r="AC25" s="104">
        <f>IF(Q25=-$D$35,+(SUM(AB$7:AB24)-SUM(AB26:AB$114))/(Q25+$D$35+0.0001),+(SUM(AB$7:AB24)-SUM(AB26:AB$114))/(Q25+$D$35))</f>
        <v>-21759.91516193739</v>
      </c>
      <c r="AD25" s="104">
        <f>IF(ABS(AC25)&lt;Y25,SUM(Y$7:Y24)-AC25-SUM(Y26:Y$114),0)</f>
        <v>0</v>
      </c>
      <c r="AF25" s="21">
        <f t="shared" si="15"/>
        <v>17</v>
      </c>
      <c r="AG25" s="117">
        <f t="shared" si="13"/>
        <v>0.3541666666666667</v>
      </c>
      <c r="AH25" s="115">
        <f>SUM(Y$7:Y24)-SUM(Y25:Y$124)</f>
        <v>-14090.07427174819</v>
      </c>
      <c r="AI25" s="115">
        <f>-SUM(Z$7:Z24)+SUM(Z25:Z$124)</f>
        <v>559409.9695548334</v>
      </c>
      <c r="AJ25" s="115">
        <f t="shared" si="8"/>
        <v>14090.07427174819</v>
      </c>
      <c r="AK25" s="115">
        <f t="shared" si="9"/>
        <v>-559409.9695548334</v>
      </c>
      <c r="AL25" s="104">
        <f t="shared" si="14"/>
        <v>-39.702414534215656</v>
      </c>
    </row>
    <row r="26" spans="1:38" ht="15.75" customHeight="1">
      <c r="A26" s="360" t="s">
        <v>514</v>
      </c>
      <c r="B26" s="181" t="s">
        <v>189</v>
      </c>
      <c r="C26" s="20" t="s">
        <v>511</v>
      </c>
      <c r="D26" s="52">
        <v>0</v>
      </c>
      <c r="E26" s="385" t="s">
        <v>472</v>
      </c>
      <c r="P26" s="21">
        <f t="shared" si="11"/>
        <v>20</v>
      </c>
      <c r="Q26" s="21">
        <f t="shared" si="12"/>
        <v>19.5</v>
      </c>
      <c r="R26" s="21">
        <v>1</v>
      </c>
      <c r="S26" s="27">
        <f t="shared" si="4"/>
        <v>4.5</v>
      </c>
      <c r="T26" s="27">
        <f t="shared" si="5"/>
        <v>0</v>
      </c>
      <c r="U26" s="27">
        <f t="shared" si="0"/>
        <v>0</v>
      </c>
      <c r="V26" s="27">
        <f t="shared" si="1"/>
        <v>0</v>
      </c>
      <c r="W26" s="116">
        <f t="shared" si="6"/>
        <v>4.5</v>
      </c>
      <c r="X26" s="116">
        <f>'Soil Profile'!N56</f>
        <v>21.018545135229104</v>
      </c>
      <c r="Y26" s="104">
        <f t="shared" si="2"/>
        <v>94.58345310853096</v>
      </c>
      <c r="Z26" s="206">
        <f t="shared" si="3"/>
        <v>1844.3773356163538</v>
      </c>
      <c r="AA26" s="208"/>
      <c r="AB26" s="202">
        <f t="shared" si="7"/>
        <v>3736.046397786973</v>
      </c>
      <c r="AC26" s="104">
        <f>IF(Q26=-$D$35,+(SUM(AB$7:AB25)-SUM(AB27:AB$114))/(Q26+$D$35+0.0001),+(SUM(AB$7:AB25)-SUM(AB27:AB$114))/(Q26+$D$35))</f>
        <v>-21026.986483078355</v>
      </c>
      <c r="AD26" s="104">
        <f>IF(ABS(AC26)&lt;Y26,SUM(Y$7:Y25)-AC26-SUM(Y27:Y$114),0)</f>
        <v>0</v>
      </c>
      <c r="AF26" s="21">
        <f t="shared" si="15"/>
        <v>18</v>
      </c>
      <c r="AG26" s="117">
        <f t="shared" si="13"/>
        <v>0.375</v>
      </c>
      <c r="AH26" s="115">
        <f>SUM(Y$7:Y25)-SUM(Y26:Y$124)</f>
        <v>-13910.608232516623</v>
      </c>
      <c r="AI26" s="115">
        <f>-SUM(Z$7:Z25)+SUM(Z26:Z$124)</f>
        <v>556089.8478290495</v>
      </c>
      <c r="AJ26" s="115">
        <f t="shared" si="8"/>
        <v>13910.608232516623</v>
      </c>
      <c r="AK26" s="115">
        <f t="shared" si="9"/>
        <v>-556089.8478290495</v>
      </c>
      <c r="AL26" s="104">
        <f t="shared" si="14"/>
        <v>-39.97595493554095</v>
      </c>
    </row>
    <row r="27" spans="1:38" ht="15.75" customHeight="1">
      <c r="A27" s="361"/>
      <c r="B27" s="181" t="s">
        <v>190</v>
      </c>
      <c r="C27" s="20" t="s">
        <v>509</v>
      </c>
      <c r="D27" s="52">
        <v>0</v>
      </c>
      <c r="E27" s="385"/>
      <c r="P27" s="21">
        <f t="shared" si="11"/>
        <v>21</v>
      </c>
      <c r="Q27" s="21">
        <f t="shared" si="12"/>
        <v>20.5</v>
      </c>
      <c r="R27" s="21">
        <v>1</v>
      </c>
      <c r="S27" s="27">
        <f t="shared" si="4"/>
        <v>4.5</v>
      </c>
      <c r="T27" s="27">
        <f t="shared" si="5"/>
        <v>0</v>
      </c>
      <c r="U27" s="27">
        <f t="shared" si="0"/>
        <v>0</v>
      </c>
      <c r="V27" s="27">
        <f t="shared" si="1"/>
        <v>0</v>
      </c>
      <c r="W27" s="116">
        <f t="shared" si="6"/>
        <v>4.5</v>
      </c>
      <c r="X27" s="116">
        <f>'Soil Profile'!N57</f>
        <v>22.096419244728033</v>
      </c>
      <c r="Y27" s="104">
        <f t="shared" si="2"/>
        <v>99.43388660127614</v>
      </c>
      <c r="Z27" s="206">
        <f t="shared" si="3"/>
        <v>2038.394675326161</v>
      </c>
      <c r="AA27" s="208"/>
      <c r="AB27" s="202">
        <f t="shared" si="7"/>
        <v>4027.072407351684</v>
      </c>
      <c r="AC27" s="104">
        <f>IF(Q27=-$D$35,+(SUM(AB$7:AB26)-SUM(AB28:AB$114))/(Q27+$D$35+0.0001),+(SUM(AB$7:AB26)-SUM(AB28:AB$114))/(Q27+$D$35))</f>
        <v>-20316.11968583843</v>
      </c>
      <c r="AD27" s="104">
        <f>IF(ABS(AC27)&lt;Y27,SUM(Y$7:Y26)-AC27-SUM(Y28:Y$114),0)</f>
        <v>0</v>
      </c>
      <c r="AF27" s="21">
        <f t="shared" si="15"/>
        <v>19</v>
      </c>
      <c r="AG27" s="117">
        <f t="shared" si="13"/>
        <v>0.3958333333333333</v>
      </c>
      <c r="AH27" s="115">
        <f>SUM(Y$7:Y26)-SUM(Y27:Y$124)</f>
        <v>-13721.44132629956</v>
      </c>
      <c r="AI27" s="115">
        <f>-SUM(Z$7:Z26)+SUM(Z27:Z$124)</f>
        <v>552401.0931578167</v>
      </c>
      <c r="AJ27" s="115">
        <f t="shared" si="8"/>
        <v>13721.44132629956</v>
      </c>
      <c r="AK27" s="115">
        <f t="shared" si="9"/>
        <v>-552401.0931578167</v>
      </c>
      <c r="AL27" s="104">
        <f t="shared" si="14"/>
        <v>-40.258241100302094</v>
      </c>
    </row>
    <row r="28" spans="1:38" ht="15.75" customHeight="1">
      <c r="A28" s="361"/>
      <c r="B28" s="181" t="s">
        <v>191</v>
      </c>
      <c r="C28" s="20" t="s">
        <v>30</v>
      </c>
      <c r="D28" s="52">
        <v>0</v>
      </c>
      <c r="E28" s="54" t="s">
        <v>101</v>
      </c>
      <c r="P28" s="21">
        <f t="shared" si="11"/>
        <v>22</v>
      </c>
      <c r="Q28" s="21">
        <f t="shared" si="12"/>
        <v>21.5</v>
      </c>
      <c r="R28" s="21">
        <v>1</v>
      </c>
      <c r="S28" s="27">
        <f t="shared" si="4"/>
        <v>4.5</v>
      </c>
      <c r="T28" s="27">
        <f t="shared" si="5"/>
        <v>0</v>
      </c>
      <c r="U28" s="27">
        <f t="shared" si="0"/>
        <v>0</v>
      </c>
      <c r="V28" s="27">
        <f t="shared" si="1"/>
        <v>0</v>
      </c>
      <c r="W28" s="116">
        <f t="shared" si="6"/>
        <v>4.5</v>
      </c>
      <c r="X28" s="116">
        <f>'Soil Profile'!N58</f>
        <v>23.174293354226965</v>
      </c>
      <c r="Y28" s="104">
        <f t="shared" si="2"/>
        <v>104.28432009402134</v>
      </c>
      <c r="Z28" s="206">
        <f t="shared" si="3"/>
        <v>2242.112882021459</v>
      </c>
      <c r="AA28" s="208"/>
      <c r="AB28" s="202">
        <f t="shared" si="7"/>
        <v>4327.799283901885</v>
      </c>
      <c r="AC28" s="104">
        <f>IF(Q28=-$D$35,+(SUM(AB$7:AB27)-SUM(AB29:AB$114))/(Q28+$D$35+0.0001),+(SUM(AB$7:AB27)-SUM(AB29:AB$114))/(Q28+$D$35))</f>
        <v>-19625.25242373982</v>
      </c>
      <c r="AD28" s="104">
        <f>IF(ABS(AC28)&lt;Y28,SUM(Y$7:Y27)-AC28-SUM(Y29:Y$114),0)</f>
        <v>0</v>
      </c>
      <c r="AF28" s="21">
        <f t="shared" si="15"/>
        <v>20</v>
      </c>
      <c r="AG28" s="117">
        <f t="shared" si="13"/>
        <v>0.4166666666666667</v>
      </c>
      <c r="AH28" s="115">
        <f>SUM(Y$7:Y27)-SUM(Y28:Y$124)</f>
        <v>-13522.573553097007</v>
      </c>
      <c r="AI28" s="115">
        <f>-SUM(Z$7:Z27)+SUM(Z28:Z$124)</f>
        <v>548324.3038071643</v>
      </c>
      <c r="AJ28" s="115">
        <f t="shared" si="8"/>
        <v>13522.573553097007</v>
      </c>
      <c r="AK28" s="115">
        <f t="shared" si="9"/>
        <v>-548324.3038071643</v>
      </c>
      <c r="AL28" s="104">
        <f t="shared" si="14"/>
        <v>-40.54881281689049</v>
      </c>
    </row>
    <row r="29" spans="1:38" ht="15.75" customHeight="1">
      <c r="A29" s="361"/>
      <c r="B29" s="181" t="s">
        <v>103</v>
      </c>
      <c r="C29" s="20" t="s">
        <v>511</v>
      </c>
      <c r="D29" s="115">
        <f>$AI$8*D28</f>
        <v>0</v>
      </c>
      <c r="E29" s="54" t="s">
        <v>104</v>
      </c>
      <c r="P29" s="21">
        <f t="shared" si="11"/>
        <v>23</v>
      </c>
      <c r="Q29" s="21">
        <f t="shared" si="12"/>
        <v>22.5</v>
      </c>
      <c r="R29" s="21">
        <v>1</v>
      </c>
      <c r="S29" s="27">
        <f t="shared" si="4"/>
        <v>4.5</v>
      </c>
      <c r="T29" s="27">
        <f t="shared" si="5"/>
        <v>0</v>
      </c>
      <c r="U29" s="27">
        <f t="shared" si="0"/>
        <v>0</v>
      </c>
      <c r="V29" s="27">
        <f t="shared" si="1"/>
        <v>0</v>
      </c>
      <c r="W29" s="116">
        <f t="shared" si="6"/>
        <v>4.5</v>
      </c>
      <c r="X29" s="116">
        <f>'Soil Profile'!N59</f>
        <v>24.252167463725893</v>
      </c>
      <c r="Y29" s="104">
        <f t="shared" si="2"/>
        <v>109.13475358676652</v>
      </c>
      <c r="Z29" s="206">
        <f t="shared" si="3"/>
        <v>2455.5319557022467</v>
      </c>
      <c r="AA29" s="208"/>
      <c r="AB29" s="202">
        <f t="shared" si="7"/>
        <v>4638.227027437577</v>
      </c>
      <c r="AC29" s="104">
        <f>IF(Q29=-$D$35,+(SUM(AB$7:AB28)-SUM(AB30:AB$114))/(Q29+$D$35+0.0001),+(SUM(AB$7:AB28)-SUM(AB30:AB$114))/(Q29+$D$35))</f>
        <v>-18952.516453502663</v>
      </c>
      <c r="AD29" s="104">
        <f>IF(ABS(AC29)&lt;Y29,SUM(Y$7:Y28)-AC29-SUM(Y30:Y$114),0)</f>
        <v>0</v>
      </c>
      <c r="AF29" s="21">
        <f t="shared" si="15"/>
        <v>21</v>
      </c>
      <c r="AG29" s="117">
        <f t="shared" si="13"/>
        <v>0.4375</v>
      </c>
      <c r="AH29" s="115">
        <f>SUM(Y$7:Y28)-SUM(Y29:Y$124)</f>
        <v>-13314.004912908964</v>
      </c>
      <c r="AI29" s="115">
        <f>-SUM(Z$7:Z28)+SUM(Z29:Z$124)</f>
        <v>543840.0780431214</v>
      </c>
      <c r="AJ29" s="115">
        <f t="shared" si="8"/>
        <v>13314.004912908964</v>
      </c>
      <c r="AK29" s="115">
        <f t="shared" si="9"/>
        <v>-543840.0780431214</v>
      </c>
      <c r="AL29" s="104">
        <f t="shared" si="14"/>
        <v>-40.84721927027577</v>
      </c>
    </row>
    <row r="30" spans="16:38" ht="15.75" customHeight="1">
      <c r="P30" s="21">
        <f t="shared" si="11"/>
        <v>24</v>
      </c>
      <c r="Q30" s="21">
        <f t="shared" si="12"/>
        <v>23.5</v>
      </c>
      <c r="R30" s="21">
        <v>1</v>
      </c>
      <c r="S30" s="27">
        <f t="shared" si="4"/>
        <v>4.5</v>
      </c>
      <c r="T30" s="27">
        <f t="shared" si="5"/>
        <v>0</v>
      </c>
      <c r="U30" s="27">
        <f t="shared" si="0"/>
        <v>0</v>
      </c>
      <c r="V30" s="27">
        <f t="shared" si="1"/>
        <v>0</v>
      </c>
      <c r="W30" s="116">
        <f t="shared" si="6"/>
        <v>4.5</v>
      </c>
      <c r="X30" s="116">
        <f>'Soil Profile'!N60</f>
        <v>25.33004157322482</v>
      </c>
      <c r="Y30" s="104">
        <f t="shared" si="2"/>
        <v>113.98518707951169</v>
      </c>
      <c r="Z30" s="206">
        <f t="shared" si="3"/>
        <v>2678.651896368525</v>
      </c>
      <c r="AA30" s="208"/>
      <c r="AB30" s="202">
        <f t="shared" si="7"/>
        <v>4958.355637958758</v>
      </c>
      <c r="AC30" s="104">
        <f>IF(Q30=-$D$35,+(SUM(AB$7:AB29)-SUM(AB31:AB$114))/(Q30+$D$35+0.0001),+(SUM(AB$7:AB29)-SUM(AB31:AB$114))/(Q30+$D$35))</f>
        <v>-18296.215324332567</v>
      </c>
      <c r="AD30" s="104">
        <f>IF(ABS(AC30)&lt;Y30,SUM(Y$7:Y29)-AC30-SUM(Y31:Y$114),0)</f>
        <v>0</v>
      </c>
      <c r="AF30" s="21">
        <f t="shared" si="15"/>
        <v>22</v>
      </c>
      <c r="AG30" s="117">
        <f t="shared" si="13"/>
        <v>0.4583333333333333</v>
      </c>
      <c r="AH30" s="115">
        <f>SUM(Y$7:Y29)-SUM(Y30:Y$124)</f>
        <v>-13095.735405735433</v>
      </c>
      <c r="AI30" s="115">
        <f>-SUM(Z$7:Z29)+SUM(Z30:Z$124)</f>
        <v>538929.0141317169</v>
      </c>
      <c r="AJ30" s="115">
        <f t="shared" si="8"/>
        <v>13095.735405735433</v>
      </c>
      <c r="AK30" s="115">
        <f t="shared" si="9"/>
        <v>-538929.0141317169</v>
      </c>
      <c r="AL30" s="104">
        <f t="shared" si="14"/>
        <v>-41.15301641599192</v>
      </c>
    </row>
    <row r="31" spans="1:38" ht="15.75" customHeight="1">
      <c r="A31" s="192" t="s">
        <v>182</v>
      </c>
      <c r="B31" s="193"/>
      <c r="C31" s="193"/>
      <c r="D31" s="193"/>
      <c r="E31" s="193"/>
      <c r="P31" s="21">
        <f t="shared" si="11"/>
        <v>25</v>
      </c>
      <c r="Q31" s="21">
        <f t="shared" si="12"/>
        <v>24.5</v>
      </c>
      <c r="R31" s="21">
        <v>1</v>
      </c>
      <c r="S31" s="27">
        <f t="shared" si="4"/>
        <v>4.5</v>
      </c>
      <c r="T31" s="27">
        <f t="shared" si="5"/>
        <v>0</v>
      </c>
      <c r="U31" s="27">
        <f t="shared" si="0"/>
        <v>0</v>
      </c>
      <c r="V31" s="27">
        <f t="shared" si="1"/>
        <v>0</v>
      </c>
      <c r="W31" s="116">
        <f t="shared" si="6"/>
        <v>4.5</v>
      </c>
      <c r="X31" s="116">
        <f>'Soil Profile'!N61</f>
        <v>21.141686054836434</v>
      </c>
      <c r="Y31" s="104">
        <f t="shared" si="2"/>
        <v>95.13758724676396</v>
      </c>
      <c r="Z31" s="206">
        <f t="shared" si="3"/>
        <v>2330.870887545717</v>
      </c>
      <c r="AA31" s="208"/>
      <c r="AB31" s="202">
        <f t="shared" si="7"/>
        <v>4233.622632480996</v>
      </c>
      <c r="AC31" s="104">
        <f>IF(Q31=-$D$35,+(SUM(AB$7:AB30)-SUM(AB32:AB$114))/(Q31+$D$35+0.0001),+(SUM(AB$7:AB30)-SUM(AB32:AB$114))/(Q31+$D$35))</f>
        <v>-17678.50310871971</v>
      </c>
      <c r="AD31" s="104">
        <f>IF(ABS(AC31)&lt;Y31,SUM(Y$7:Y30)-AC31-SUM(Y32:Y$114),0)</f>
        <v>0</v>
      </c>
      <c r="AF31" s="21">
        <f t="shared" si="15"/>
        <v>23</v>
      </c>
      <c r="AG31" s="117">
        <f t="shared" si="13"/>
        <v>0.4791666666666667</v>
      </c>
      <c r="AH31" s="115">
        <f>SUM(Y$7:Y30)-SUM(Y31:Y$124)</f>
        <v>-12867.765031576408</v>
      </c>
      <c r="AI31" s="115">
        <f>-SUM(Z$7:Z30)+SUM(Z31:Z$124)</f>
        <v>533571.71033898</v>
      </c>
      <c r="AJ31" s="115">
        <f t="shared" si="8"/>
        <v>12867.765031576408</v>
      </c>
      <c r="AK31" s="115">
        <f t="shared" si="9"/>
        <v>-533571.71033898</v>
      </c>
      <c r="AL31" s="104">
        <f t="shared" si="14"/>
        <v>-41.46576418124205</v>
      </c>
    </row>
    <row r="32" spans="1:38" ht="15.75" customHeight="1">
      <c r="A32" s="51" t="s">
        <v>28</v>
      </c>
      <c r="B32" s="161" t="s">
        <v>127</v>
      </c>
      <c r="C32" s="51" t="s">
        <v>496</v>
      </c>
      <c r="D32" s="51" t="s">
        <v>504</v>
      </c>
      <c r="E32" s="51" t="s">
        <v>506</v>
      </c>
      <c r="P32" s="21">
        <f t="shared" si="11"/>
        <v>26</v>
      </c>
      <c r="Q32" s="21">
        <f t="shared" si="12"/>
        <v>25.5</v>
      </c>
      <c r="R32" s="21">
        <v>1</v>
      </c>
      <c r="S32" s="27">
        <f t="shared" si="4"/>
        <v>4.5</v>
      </c>
      <c r="T32" s="27">
        <f t="shared" si="5"/>
        <v>0</v>
      </c>
      <c r="U32" s="27">
        <f t="shared" si="0"/>
        <v>0</v>
      </c>
      <c r="V32" s="27">
        <f t="shared" si="1"/>
        <v>0</v>
      </c>
      <c r="W32" s="116">
        <f t="shared" si="6"/>
        <v>4.5</v>
      </c>
      <c r="X32" s="116">
        <f>'Soil Profile'!N62</f>
        <v>21.91047463864867</v>
      </c>
      <c r="Y32" s="104">
        <f t="shared" si="2"/>
        <v>98.59713587391902</v>
      </c>
      <c r="Z32" s="206">
        <f t="shared" si="3"/>
        <v>2514.226964784935</v>
      </c>
      <c r="AA32" s="208"/>
      <c r="AB32" s="202">
        <f t="shared" si="7"/>
        <v>4486.169682263315</v>
      </c>
      <c r="AC32" s="104">
        <f>IF(Q32=-$D$35,+(SUM(AB$7:AB31)-SUM(AB33:AB$114))/(Q32+$D$35+0.0001),+(SUM(AB$7:AB31)-SUM(AB33:AB$114))/(Q32+$D$35))</f>
        <v>-17098.3207917205</v>
      </c>
      <c r="AD32" s="104">
        <f>IF(ABS(AC32)&lt;Y32,SUM(Y$7:Y31)-AC32-SUM(Y33:Y$114),0)</f>
        <v>0</v>
      </c>
      <c r="AF32" s="21">
        <f t="shared" si="15"/>
        <v>24</v>
      </c>
      <c r="AG32" s="117">
        <f t="shared" si="13"/>
        <v>0.5</v>
      </c>
      <c r="AH32" s="115">
        <f>SUM(Y$7:Y31)-SUM(Y32:Y$124)</f>
        <v>-12677.48985708288</v>
      </c>
      <c r="AI32" s="115">
        <f>-SUM(Z$7:Z31)+SUM(Z32:Z$124)</f>
        <v>528909.9685638885</v>
      </c>
      <c r="AJ32" s="115">
        <f t="shared" si="8"/>
        <v>12677.48985708288</v>
      </c>
      <c r="AK32" s="115">
        <f t="shared" si="9"/>
        <v>-528909.9685638885</v>
      </c>
      <c r="AL32" s="104">
        <f t="shared" si="14"/>
        <v>-41.72040163521708</v>
      </c>
    </row>
    <row r="33" spans="1:38" ht="15.75" customHeight="1">
      <c r="A33" s="21" t="s">
        <v>473</v>
      </c>
      <c r="B33" s="100" t="s">
        <v>184</v>
      </c>
      <c r="C33" s="20" t="s">
        <v>511</v>
      </c>
      <c r="D33" s="190">
        <f>IF(AND(D27&lt;0.01,D26&lt;0.01),($D$22*$D$24),($D$26/$D$28))</f>
        <v>23800</v>
      </c>
      <c r="E33" s="189"/>
      <c r="P33" s="21">
        <f t="shared" si="11"/>
        <v>27</v>
      </c>
      <c r="Q33" s="21">
        <f t="shared" si="12"/>
        <v>26.5</v>
      </c>
      <c r="R33" s="21">
        <v>1</v>
      </c>
      <c r="S33" s="27">
        <f t="shared" si="4"/>
        <v>4.5</v>
      </c>
      <c r="T33" s="27">
        <f t="shared" si="5"/>
        <v>0</v>
      </c>
      <c r="U33" s="27">
        <f t="shared" si="0"/>
        <v>0</v>
      </c>
      <c r="V33" s="27">
        <f t="shared" si="1"/>
        <v>0</v>
      </c>
      <c r="W33" s="116">
        <f t="shared" si="6"/>
        <v>4.5</v>
      </c>
      <c r="X33" s="116">
        <f>'Soil Profile'!N63</f>
        <v>22.6792632224609</v>
      </c>
      <c r="Y33" s="104">
        <f t="shared" si="2"/>
        <v>102.05668450107405</v>
      </c>
      <c r="Z33" s="206">
        <f t="shared" si="3"/>
        <v>2704.502139278462</v>
      </c>
      <c r="AA33" s="208"/>
      <c r="AB33" s="202">
        <f t="shared" si="7"/>
        <v>4745.635829299943</v>
      </c>
      <c r="AC33" s="104">
        <f>IF(Q33=-$D$35,+(SUM(AB$7:AB32)-SUM(AB34:AB$114))/(Q33+$D$35+0.0001),+(SUM(AB$7:AB32)-SUM(AB34:AB$114))/(Q33+$D$35))</f>
        <v>-16532.081516381062</v>
      </c>
      <c r="AD33" s="104">
        <f>IF(ABS(AC33)&lt;Y33,SUM(Y$7:Y32)-AC33-SUM(Y34:Y$114),0)</f>
        <v>0</v>
      </c>
      <c r="AF33" s="21">
        <f t="shared" si="15"/>
        <v>25</v>
      </c>
      <c r="AG33" s="117">
        <f t="shared" si="13"/>
        <v>0.5208333333333334</v>
      </c>
      <c r="AH33" s="115">
        <f>SUM(Y$7:Y32)-SUM(Y33:Y$124)</f>
        <v>-12480.29558533504</v>
      </c>
      <c r="AI33" s="115">
        <f>-SUM(Z$7:Z32)+SUM(Z33:Z$124)</f>
        <v>523881.51463431853</v>
      </c>
      <c r="AJ33" s="115">
        <f t="shared" si="8"/>
        <v>12480.29558533504</v>
      </c>
      <c r="AK33" s="115">
        <f t="shared" si="9"/>
        <v>-523881.51463431853</v>
      </c>
      <c r="AL33" s="104">
        <f t="shared" si="14"/>
        <v>-41.9766912612154</v>
      </c>
    </row>
    <row r="34" spans="1:38" ht="15.75" customHeight="1">
      <c r="A34" s="21" t="s">
        <v>474</v>
      </c>
      <c r="B34" s="100" t="s">
        <v>185</v>
      </c>
      <c r="C34" s="20" t="s">
        <v>509</v>
      </c>
      <c r="D34" s="190">
        <f>IF(AND(D26&lt;0.01,D27&lt;0.01),($D$23*$D$24),($D$27/$D$28))</f>
        <v>1190</v>
      </c>
      <c r="E34" s="189"/>
      <c r="H34" s="32"/>
      <c r="I34" s="32"/>
      <c r="J34" s="32"/>
      <c r="K34" s="32"/>
      <c r="P34" s="21">
        <f t="shared" si="11"/>
        <v>28</v>
      </c>
      <c r="Q34" s="21">
        <f t="shared" si="12"/>
        <v>27.5</v>
      </c>
      <c r="R34" s="21">
        <v>1</v>
      </c>
      <c r="S34" s="27">
        <f t="shared" si="4"/>
        <v>4.5</v>
      </c>
      <c r="T34" s="27">
        <f t="shared" si="5"/>
        <v>0</v>
      </c>
      <c r="U34" s="27">
        <f t="shared" si="0"/>
        <v>0</v>
      </c>
      <c r="V34" s="27">
        <f t="shared" si="1"/>
        <v>0</v>
      </c>
      <c r="W34" s="116">
        <f t="shared" si="6"/>
        <v>4.5</v>
      </c>
      <c r="X34" s="116">
        <f>'Soil Profile'!N64</f>
        <v>23.44805180627314</v>
      </c>
      <c r="Y34" s="104">
        <f t="shared" si="2"/>
        <v>105.51623312822912</v>
      </c>
      <c r="Z34" s="206">
        <f t="shared" si="3"/>
        <v>2901.6964110263007</v>
      </c>
      <c r="AA34" s="208"/>
      <c r="AB34" s="202">
        <f t="shared" si="7"/>
        <v>5012.021073590883</v>
      </c>
      <c r="AC34" s="104">
        <f>IF(Q34=-$D$35,+(SUM(AB$7:AB33)-SUM(AB35:AB$114))/(Q34+$D$35+0.0001),+(SUM(AB$7:AB33)-SUM(AB35:AB$114))/(Q34+$D$35))</f>
        <v>-15978.613339133235</v>
      </c>
      <c r="AD34" s="104">
        <f>IF(ABS(AC34)&lt;Y34,SUM(Y$7:Y33)-AC34-SUM(Y35:Y$114),0)</f>
        <v>0</v>
      </c>
      <c r="AF34" s="21">
        <f t="shared" si="15"/>
        <v>26</v>
      </c>
      <c r="AG34" s="117">
        <f t="shared" si="13"/>
        <v>0.5416666666666666</v>
      </c>
      <c r="AH34" s="115">
        <f>SUM(Y$7:Y33)-SUM(Y34:Y$124)</f>
        <v>-12276.182216332894</v>
      </c>
      <c r="AI34" s="115">
        <f>-SUM(Z$7:Z33)+SUM(Z34:Z$124)</f>
        <v>518472.51035576157</v>
      </c>
      <c r="AJ34" s="115">
        <f t="shared" si="8"/>
        <v>12276.182216332894</v>
      </c>
      <c r="AK34" s="115">
        <f t="shared" si="9"/>
        <v>-518472.51035576157</v>
      </c>
      <c r="AL34" s="104">
        <f t="shared" si="14"/>
        <v>-42.23401878687967</v>
      </c>
    </row>
    <row r="35" spans="1:38" ht="15.75" customHeight="1">
      <c r="A35" s="21" t="s">
        <v>333</v>
      </c>
      <c r="B35" s="54" t="s">
        <v>334</v>
      </c>
      <c r="C35" s="20" t="s">
        <v>497</v>
      </c>
      <c r="D35" s="116">
        <f>IF(D34=0,1000000*D33/ABS(D33),D33/D34)</f>
        <v>20</v>
      </c>
      <c r="E35" s="21"/>
      <c r="H35" s="32"/>
      <c r="I35" s="155"/>
      <c r="J35" s="155"/>
      <c r="K35" s="32"/>
      <c r="P35" s="21">
        <f t="shared" si="11"/>
        <v>29</v>
      </c>
      <c r="Q35" s="21">
        <f t="shared" si="12"/>
        <v>28.5</v>
      </c>
      <c r="R35" s="21">
        <v>1</v>
      </c>
      <c r="S35" s="27">
        <f t="shared" si="4"/>
        <v>4.5</v>
      </c>
      <c r="T35" s="27">
        <f t="shared" si="5"/>
        <v>0</v>
      </c>
      <c r="U35" s="27">
        <f t="shared" si="0"/>
        <v>0</v>
      </c>
      <c r="V35" s="27">
        <f t="shared" si="1"/>
        <v>0</v>
      </c>
      <c r="W35" s="116">
        <f t="shared" si="6"/>
        <v>4.5</v>
      </c>
      <c r="X35" s="116">
        <f>'Soil Profile'!N65</f>
        <v>24.216840390085373</v>
      </c>
      <c r="Y35" s="104">
        <f t="shared" si="2"/>
        <v>108.97578175538418</v>
      </c>
      <c r="Z35" s="206">
        <f t="shared" si="3"/>
        <v>3105.809780028449</v>
      </c>
      <c r="AA35" s="208"/>
      <c r="AB35" s="202">
        <f t="shared" si="7"/>
        <v>5285.3254151361325</v>
      </c>
      <c r="AC35" s="104">
        <f>IF(Q35=-$D$35,+(SUM(AB$7:AB34)-SUM(AB36:AB$114))/(Q35+$D$35+0.0001),+(SUM(AB$7:AB34)-SUM(AB36:AB$114))/(Q35+$D$35))</f>
        <v>-15436.840971548487</v>
      </c>
      <c r="AD35" s="104">
        <f>IF(ABS(AC35)&lt;Y35,SUM(Y$7:Y34)-AC35-SUM(Y36:Y$114),0)</f>
        <v>0</v>
      </c>
      <c r="AF35" s="21">
        <f t="shared" si="15"/>
        <v>27</v>
      </c>
      <c r="AG35" s="117">
        <f t="shared" si="13"/>
        <v>0.5625</v>
      </c>
      <c r="AH35" s="115">
        <f>SUM(Y$7:Y34)-SUM(Y35:Y$124)</f>
        <v>-12065.149750076434</v>
      </c>
      <c r="AI35" s="115">
        <f>-SUM(Z$7:Z34)+SUM(Z35:Z$124)</f>
        <v>512669.117533709</v>
      </c>
      <c r="AJ35" s="115">
        <f t="shared" si="8"/>
        <v>12065.149750076434</v>
      </c>
      <c r="AK35" s="115">
        <f t="shared" si="9"/>
        <v>-512669.117533709</v>
      </c>
      <c r="AL35" s="104">
        <f t="shared" si="14"/>
        <v>-42.49173264761684</v>
      </c>
    </row>
    <row r="36" spans="1:38" ht="15.75" customHeight="1">
      <c r="A36" s="53" t="s">
        <v>183</v>
      </c>
      <c r="B36" s="199"/>
      <c r="C36" s="20" t="s">
        <v>526</v>
      </c>
      <c r="D36" s="27" t="str">
        <f>IF(AND(D33&gt;0,D34&lt;0,D35&lt;AL8),"CW",IF(AND(D33&gt;=0,D34&gt;=0),"CW",IF(AND(D33&lt;0,D34&gt;0,D35&gt;AL8),"CW","CCW")))</f>
        <v>CW</v>
      </c>
      <c r="E36" s="189"/>
      <c r="H36" s="32"/>
      <c r="I36" s="155"/>
      <c r="J36" s="155"/>
      <c r="K36" s="32"/>
      <c r="P36" s="21">
        <f t="shared" si="11"/>
        <v>30</v>
      </c>
      <c r="Q36" s="21">
        <f t="shared" si="12"/>
        <v>29.5</v>
      </c>
      <c r="R36" s="21">
        <v>1</v>
      </c>
      <c r="S36" s="27">
        <f t="shared" si="4"/>
        <v>4.5</v>
      </c>
      <c r="T36" s="27">
        <f t="shared" si="5"/>
        <v>0</v>
      </c>
      <c r="U36" s="27">
        <f t="shared" si="0"/>
        <v>0</v>
      </c>
      <c r="V36" s="27">
        <f t="shared" si="1"/>
        <v>0</v>
      </c>
      <c r="W36" s="116">
        <f t="shared" si="6"/>
        <v>4.5</v>
      </c>
      <c r="X36" s="116">
        <f>'Soil Profile'!N66</f>
        <v>24.98562897389761</v>
      </c>
      <c r="Y36" s="104">
        <f t="shared" si="2"/>
        <v>112.43533038253925</v>
      </c>
      <c r="Z36" s="206">
        <f t="shared" si="3"/>
        <v>3316.842246284908</v>
      </c>
      <c r="AA36" s="208"/>
      <c r="AB36" s="202">
        <f t="shared" si="7"/>
        <v>5565.548853935693</v>
      </c>
      <c r="AC36" s="104">
        <f>IF(Q36=-$D$35,+(SUM(AB$7:AB35)-SUM(AB37:AB$114))/(Q36+$D$35+0.0001),+(SUM(AB$7:AB35)-SUM(AB37:AB$114))/(Q36+$D$35))</f>
        <v>-14905.77601719252</v>
      </c>
      <c r="AD36" s="104">
        <f>IF(ABS(AC36)&lt;Y36,SUM(Y$7:Y35)-AC36-SUM(Y37:Y$114),0)</f>
        <v>0</v>
      </c>
      <c r="AF36" s="21">
        <f t="shared" si="15"/>
        <v>28</v>
      </c>
      <c r="AG36" s="117">
        <f t="shared" si="13"/>
        <v>0.5833333333333334</v>
      </c>
      <c r="AH36" s="115">
        <f>SUM(Y$7:Y35)-SUM(Y36:Y$124)</f>
        <v>-11847.198186565667</v>
      </c>
      <c r="AI36" s="115">
        <f>-SUM(Z$7:Z35)+SUM(Z36:Z$124)</f>
        <v>506457.49797365215</v>
      </c>
      <c r="AJ36" s="115">
        <f t="shared" si="8"/>
        <v>11847.198186565667</v>
      </c>
      <c r="AK36" s="115">
        <f t="shared" si="9"/>
        <v>-506457.49797365215</v>
      </c>
      <c r="AL36" s="104">
        <f t="shared" si="14"/>
        <v>-42.7491369687694</v>
      </c>
    </row>
    <row r="37" spans="1:38" ht="15.75" customHeight="1">
      <c r="A37" s="53" t="s">
        <v>15</v>
      </c>
      <c r="B37" s="199"/>
      <c r="C37" s="20" t="s">
        <v>509</v>
      </c>
      <c r="D37" s="115">
        <f>IF(D36="CW",$AD$115,-$AD$115)</f>
        <v>1694.111603014635</v>
      </c>
      <c r="E37" s="189"/>
      <c r="H37" s="32"/>
      <c r="I37" s="155"/>
      <c r="J37" s="155"/>
      <c r="K37" s="32"/>
      <c r="P37" s="21">
        <f t="shared" si="11"/>
        <v>31</v>
      </c>
      <c r="Q37" s="21">
        <f t="shared" si="12"/>
        <v>30.5</v>
      </c>
      <c r="R37" s="21">
        <v>1</v>
      </c>
      <c r="S37" s="27">
        <f t="shared" si="4"/>
        <v>4.5</v>
      </c>
      <c r="T37" s="27">
        <f t="shared" si="5"/>
        <v>0</v>
      </c>
      <c r="U37" s="27">
        <f t="shared" si="0"/>
        <v>24</v>
      </c>
      <c r="V37" s="27">
        <f t="shared" si="1"/>
        <v>0</v>
      </c>
      <c r="W37" s="116">
        <f t="shared" si="6"/>
        <v>24</v>
      </c>
      <c r="X37" s="116">
        <f>'Soil Profile'!N67</f>
        <v>25.754417557709843</v>
      </c>
      <c r="Y37" s="104">
        <f t="shared" si="2"/>
        <v>618.1060213850362</v>
      </c>
      <c r="Z37" s="206">
        <f t="shared" si="3"/>
        <v>18852.233652243605</v>
      </c>
      <c r="AA37" s="208"/>
      <c r="AB37" s="202">
        <f t="shared" si="7"/>
        <v>31214.35407994433</v>
      </c>
      <c r="AC37" s="104">
        <f>IF(Q37=-$D$35,+(SUM(AB$7:AB36)-SUM(AB38:AB$114))/(Q37+$D$35+0.0001),+(SUM(AB$7:AB36)-SUM(AB38:AB$114))/(Q37+$D$35))</f>
        <v>-13882.297226082173</v>
      </c>
      <c r="AD37" s="104">
        <f>IF(ABS(AC37)&lt;Y37,SUM(Y$7:Y36)-AC37-SUM(Y38:Y$114),0)</f>
        <v>0</v>
      </c>
      <c r="AF37" s="21">
        <f t="shared" si="15"/>
        <v>29</v>
      </c>
      <c r="AG37" s="117">
        <f t="shared" si="13"/>
        <v>0.6041666666666666</v>
      </c>
      <c r="AH37" s="115">
        <f>SUM(Y$7:Y36)-SUM(Y37:Y$124)</f>
        <v>-11622.32752580059</v>
      </c>
      <c r="AI37" s="115">
        <f>-SUM(Z$7:Z36)+SUM(Z37:Z$124)</f>
        <v>499823.81348108227</v>
      </c>
      <c r="AJ37" s="115">
        <f t="shared" si="8"/>
        <v>11622.32752580059</v>
      </c>
      <c r="AK37" s="115">
        <f t="shared" si="9"/>
        <v>-499823.81348108227</v>
      </c>
      <c r="AL37" s="104">
        <f t="shared" si="14"/>
        <v>-43.0054834000776</v>
      </c>
    </row>
    <row r="38" spans="1:38" ht="15.75" customHeight="1">
      <c r="A38" s="53" t="s">
        <v>16</v>
      </c>
      <c r="B38" s="199"/>
      <c r="C38" s="20" t="s">
        <v>511</v>
      </c>
      <c r="D38" s="115">
        <f>+D37*D35</f>
        <v>33882.2320602927</v>
      </c>
      <c r="E38" s="189"/>
      <c r="H38" s="32"/>
      <c r="I38" s="155"/>
      <c r="J38" s="155"/>
      <c r="K38" s="32"/>
      <c r="P38" s="21">
        <f t="shared" si="11"/>
        <v>32</v>
      </c>
      <c r="Q38" s="21">
        <f t="shared" si="12"/>
        <v>31.5</v>
      </c>
      <c r="R38" s="21">
        <v>1</v>
      </c>
      <c r="S38" s="27">
        <f t="shared" si="4"/>
        <v>4.5</v>
      </c>
      <c r="T38" s="27">
        <f t="shared" si="5"/>
        <v>0</v>
      </c>
      <c r="U38" s="27">
        <f t="shared" si="0"/>
        <v>24</v>
      </c>
      <c r="V38" s="27">
        <f t="shared" si="1"/>
        <v>0</v>
      </c>
      <c r="W38" s="116">
        <f t="shared" si="6"/>
        <v>24</v>
      </c>
      <c r="X38" s="116">
        <f>'Soil Profile'!N68</f>
        <v>26.52320614152208</v>
      </c>
      <c r="Y38" s="104">
        <f t="shared" si="2"/>
        <v>636.55694739653</v>
      </c>
      <c r="Z38" s="206">
        <f t="shared" si="3"/>
        <v>20051.543842990694</v>
      </c>
      <c r="AA38" s="208"/>
      <c r="AB38" s="202">
        <f t="shared" si="7"/>
        <v>32782.682790921295</v>
      </c>
      <c r="AC38" s="104">
        <f>IF(Q38=-$D$35,+(SUM(AB$7:AB37)-SUM(AB39:AB$114))/(Q38+$D$35+0.0001),+(SUM(AB$7:AB37)-SUM(AB39:AB$114))/(Q38+$D$35))</f>
        <v>-12370.07714652979</v>
      </c>
      <c r="AD38" s="104">
        <f>IF(ABS(AC38)&lt;Y38,SUM(Y$7:Y37)-AC38-SUM(Y39:Y$114),0)</f>
        <v>0</v>
      </c>
      <c r="AF38" s="21">
        <f t="shared" si="15"/>
        <v>30</v>
      </c>
      <c r="AG38" s="117">
        <f t="shared" si="13"/>
        <v>0.625</v>
      </c>
      <c r="AH38" s="115">
        <f>SUM(Y$7:Y37)-SUM(Y38:Y$124)</f>
        <v>-10386.115483030515</v>
      </c>
      <c r="AI38" s="115">
        <f>-SUM(Z$7:Z37)+SUM(Z38:Z$124)</f>
        <v>462119.3461765951</v>
      </c>
      <c r="AJ38" s="115">
        <f t="shared" si="8"/>
        <v>10386.115483030515</v>
      </c>
      <c r="AK38" s="115">
        <f t="shared" si="9"/>
        <v>-462119.3461765951</v>
      </c>
      <c r="AL38" s="104">
        <f t="shared" si="14"/>
        <v>-44.49395415751294</v>
      </c>
    </row>
    <row r="39" spans="1:38" ht="15.75" customHeight="1">
      <c r="A39" s="484" t="s">
        <v>36</v>
      </c>
      <c r="B39" s="485"/>
      <c r="C39" s="486"/>
      <c r="D39" s="43" t="str">
        <f>IF(D38*D38+D37*D37&gt;D34*D34+D33*D33,"Yes","No")</f>
        <v>Yes</v>
      </c>
      <c r="E39" s="189"/>
      <c r="H39" s="32"/>
      <c r="I39" s="155"/>
      <c r="J39" s="155"/>
      <c r="K39" s="32"/>
      <c r="P39" s="21">
        <f t="shared" si="11"/>
        <v>33</v>
      </c>
      <c r="Q39" s="21">
        <f t="shared" si="12"/>
        <v>32.5</v>
      </c>
      <c r="R39" s="21">
        <v>1</v>
      </c>
      <c r="S39" s="27">
        <f t="shared" si="4"/>
        <v>4.5</v>
      </c>
      <c r="T39" s="27">
        <f t="shared" si="5"/>
        <v>0</v>
      </c>
      <c r="U39" s="27">
        <f aca="true" t="shared" si="18" ref="U39:U70">IF(AND(Q39&gt;$D$12,Q39&lt;$D$13),$D$14,0)</f>
        <v>24</v>
      </c>
      <c r="V39" s="27">
        <f aca="true" t="shared" si="19" ref="V39:V70">IF(AND(Q39&gt;$D$15,Q39&lt;$D$16),$D$17,0)</f>
        <v>0</v>
      </c>
      <c r="W39" s="116">
        <f t="shared" si="6"/>
        <v>24</v>
      </c>
      <c r="X39" s="116">
        <f>'Soil Profile'!N69</f>
        <v>27.29199472533432</v>
      </c>
      <c r="Y39" s="104">
        <f aca="true" t="shared" si="20" ref="Y39:Y70">+X39*R39*W39</f>
        <v>655.0078734080237</v>
      </c>
      <c r="Z39" s="206">
        <f aca="true" t="shared" si="21" ref="Z39:Z70">+Y39*Q39</f>
        <v>21287.75588576077</v>
      </c>
      <c r="AA39" s="208"/>
      <c r="AB39" s="202">
        <f t="shared" si="7"/>
        <v>34387.91335392124</v>
      </c>
      <c r="AC39" s="104">
        <f>IF(Q39=-$D$35,+(SUM(AB$7:AB38)-SUM(AB40:AB$114))/(Q39+$D$35+0.0001),+(SUM(AB$7:AB38)-SUM(AB40:AB$114))/(Q39+$D$35))</f>
        <v>-10855.016702884603</v>
      </c>
      <c r="AD39" s="104">
        <f>IF(ABS(AC39)&lt;Y39,SUM(Y$7:Y38)-AC39-SUM(Y40:Y$114),0)</f>
        <v>0</v>
      </c>
      <c r="AF39" s="21">
        <f t="shared" si="15"/>
        <v>31</v>
      </c>
      <c r="AG39" s="117">
        <f t="shared" si="13"/>
        <v>0.6458333333333334</v>
      </c>
      <c r="AH39" s="115">
        <f>SUM(Y$7:Y38)-SUM(Y39:Y$124)</f>
        <v>-9113.001588237456</v>
      </c>
      <c r="AI39" s="115">
        <f>-SUM(Z$7:Z38)+SUM(Z39:Z$124)</f>
        <v>422016.2584906137</v>
      </c>
      <c r="AJ39" s="115">
        <f t="shared" si="8"/>
        <v>9113.001588237456</v>
      </c>
      <c r="AK39" s="115">
        <f t="shared" si="9"/>
        <v>-422016.2584906137</v>
      </c>
      <c r="AL39" s="104">
        <f t="shared" si="14"/>
        <v>-46.30924886870736</v>
      </c>
    </row>
    <row r="40" spans="8:38" ht="15.75" customHeight="1">
      <c r="H40" s="32"/>
      <c r="I40" s="155"/>
      <c r="J40" s="155"/>
      <c r="K40" s="32"/>
      <c r="P40" s="21">
        <f t="shared" si="11"/>
        <v>34</v>
      </c>
      <c r="Q40" s="21">
        <f t="shared" si="12"/>
        <v>33.5</v>
      </c>
      <c r="R40" s="21">
        <v>1</v>
      </c>
      <c r="S40" s="27">
        <f t="shared" si="4"/>
        <v>4.5</v>
      </c>
      <c r="T40" s="27">
        <f t="shared" si="5"/>
        <v>0</v>
      </c>
      <c r="U40" s="27">
        <f t="shared" si="18"/>
        <v>24</v>
      </c>
      <c r="V40" s="27">
        <f t="shared" si="19"/>
        <v>0</v>
      </c>
      <c r="W40" s="116">
        <f t="shared" si="6"/>
        <v>24</v>
      </c>
      <c r="X40" s="116">
        <f>'Soil Profile'!N70</f>
        <v>28.060783309146554</v>
      </c>
      <c r="Y40" s="104">
        <f t="shared" si="20"/>
        <v>673.4587994195173</v>
      </c>
      <c r="Z40" s="206">
        <f t="shared" si="21"/>
        <v>22560.86978055383</v>
      </c>
      <c r="AA40" s="208"/>
      <c r="AB40" s="202">
        <f t="shared" si="7"/>
        <v>36030.045768944176</v>
      </c>
      <c r="AC40" s="104">
        <f>IF(Q40=-$D$35,+(SUM(AB$7:AB39)-SUM(AB41:AB$114))/(Q40+$D$35+0.0001),+(SUM(AB$7:AB39)-SUM(AB41:AB$114))/(Q40+$D$35))</f>
        <v>-9335.895659412638</v>
      </c>
      <c r="AD40" s="104">
        <f>IF(ABS(AC40)&lt;Y40,SUM(Y$7:Y39)-AC40-SUM(Y41:Y$114),0)</f>
        <v>0</v>
      </c>
      <c r="AF40" s="21">
        <f t="shared" si="15"/>
        <v>32</v>
      </c>
      <c r="AG40" s="117">
        <f t="shared" si="13"/>
        <v>0.6666666666666666</v>
      </c>
      <c r="AH40" s="115">
        <f>SUM(Y$7:Y39)-SUM(Y40:Y$124)</f>
        <v>-7802.985841421409</v>
      </c>
      <c r="AI40" s="115">
        <f>-SUM(Z$7:Z39)+SUM(Z40:Z$124)</f>
        <v>379440.7467190922</v>
      </c>
      <c r="AJ40" s="115">
        <f aca="true" t="shared" si="22" ref="AJ40:AJ71">-AH40</f>
        <v>7802.985841421409</v>
      </c>
      <c r="AK40" s="115">
        <f aca="true" t="shared" si="23" ref="AK40:AK71">-AI40</f>
        <v>-379440.7467190922</v>
      </c>
      <c r="AL40" s="104">
        <f t="shared" si="14"/>
        <v>-48.62763491186502</v>
      </c>
    </row>
    <row r="41" spans="8:38" ht="15.75" customHeight="1">
      <c r="H41" s="32"/>
      <c r="I41" s="155"/>
      <c r="J41" s="155"/>
      <c r="K41" s="32"/>
      <c r="P41" s="21">
        <f t="shared" si="11"/>
        <v>35</v>
      </c>
      <c r="Q41" s="21">
        <f t="shared" si="12"/>
        <v>34.5</v>
      </c>
      <c r="R41" s="21">
        <v>1</v>
      </c>
      <c r="S41" s="27">
        <f t="shared" si="4"/>
        <v>4.5</v>
      </c>
      <c r="T41" s="27">
        <f t="shared" si="5"/>
        <v>0</v>
      </c>
      <c r="U41" s="27">
        <f t="shared" si="18"/>
        <v>24</v>
      </c>
      <c r="V41" s="27">
        <f t="shared" si="19"/>
        <v>0</v>
      </c>
      <c r="W41" s="116">
        <f t="shared" si="6"/>
        <v>24</v>
      </c>
      <c r="X41" s="116">
        <f>'Soil Profile'!N71</f>
        <v>28.82957189295879</v>
      </c>
      <c r="Y41" s="104">
        <f t="shared" si="20"/>
        <v>691.9097254310109</v>
      </c>
      <c r="Z41" s="206">
        <f t="shared" si="21"/>
        <v>23870.885527369875</v>
      </c>
      <c r="AA41" s="208"/>
      <c r="AB41" s="202">
        <f t="shared" si="7"/>
        <v>37709.08003599009</v>
      </c>
      <c r="AC41" s="104">
        <f>IF(Q41=-$D$35,+(SUM(AB$7:AB40)-SUM(AB42:AB$114))/(Q41+$D$35+0.0001),+(SUM(AB$7:AB40)-SUM(AB42:AB$114))/(Q41+$D$35))</f>
        <v>-7811.583338965908</v>
      </c>
      <c r="AD41" s="104">
        <f>IF(ABS(AC41)&lt;Y41,SUM(Y$7:Y40)-AC41-SUM(Y42:Y$114),0)</f>
        <v>0</v>
      </c>
      <c r="AF41" s="21">
        <f t="shared" si="15"/>
        <v>33</v>
      </c>
      <c r="AG41" s="117">
        <f t="shared" si="13"/>
        <v>0.6875</v>
      </c>
      <c r="AH41" s="115">
        <f>SUM(Y$7:Y40)-SUM(Y41:Y$124)</f>
        <v>-6456.068242582374</v>
      </c>
      <c r="AI41" s="115">
        <f>-SUM(Z$7:Z40)+SUM(Z41:Z$124)</f>
        <v>334319.0071579846</v>
      </c>
      <c r="AJ41" s="115">
        <f t="shared" si="22"/>
        <v>6456.068242582374</v>
      </c>
      <c r="AK41" s="115">
        <f t="shared" si="23"/>
        <v>-334319.0071579846</v>
      </c>
      <c r="AL41" s="104">
        <f t="shared" si="14"/>
        <v>-51.7836854562522</v>
      </c>
    </row>
    <row r="42" spans="8:38" ht="15.75" customHeight="1">
      <c r="H42" s="32"/>
      <c r="I42" s="155"/>
      <c r="J42" s="155"/>
      <c r="K42" s="32"/>
      <c r="P42" s="21">
        <f t="shared" si="11"/>
        <v>36</v>
      </c>
      <c r="Q42" s="21">
        <f t="shared" si="12"/>
        <v>35.5</v>
      </c>
      <c r="R42" s="21">
        <v>1</v>
      </c>
      <c r="S42" s="27">
        <f t="shared" si="4"/>
        <v>4.5</v>
      </c>
      <c r="T42" s="27">
        <f t="shared" si="5"/>
        <v>0</v>
      </c>
      <c r="U42" s="27">
        <f t="shared" si="18"/>
        <v>24</v>
      </c>
      <c r="V42" s="27">
        <f t="shared" si="19"/>
        <v>0</v>
      </c>
      <c r="W42" s="116">
        <f t="shared" si="6"/>
        <v>24</v>
      </c>
      <c r="X42" s="116">
        <f>'Soil Profile'!N72</f>
        <v>29.598360476771024</v>
      </c>
      <c r="Y42" s="104">
        <f t="shared" si="20"/>
        <v>710.3606514425046</v>
      </c>
      <c r="Z42" s="206">
        <f t="shared" si="21"/>
        <v>25217.803126208913</v>
      </c>
      <c r="AA42" s="208"/>
      <c r="AB42" s="202">
        <f t="shared" si="7"/>
        <v>39425.016155059006</v>
      </c>
      <c r="AC42" s="104">
        <f>IF(Q42=-$D$35,+(SUM(AB$7:AB41)-SUM(AB43:AB$114))/(Q42+$D$35+0.0001),+(SUM(AB$7:AB41)-SUM(AB43:AB$114))/(Q42+$D$35))</f>
        <v>-6281.030554641312</v>
      </c>
      <c r="AD42" s="104">
        <f>IF(ABS(AC42)&lt;Y42,SUM(Y$7:Y41)-AC42-SUM(Y43:Y$114),0)</f>
        <v>0</v>
      </c>
      <c r="AF42" s="21">
        <f t="shared" si="15"/>
        <v>34</v>
      </c>
      <c r="AG42" s="117">
        <f t="shared" si="13"/>
        <v>0.7083333333333334</v>
      </c>
      <c r="AH42" s="115">
        <f>SUM(Y$7:Y41)-SUM(Y42:Y$124)</f>
        <v>-5072.2487917203525</v>
      </c>
      <c r="AI42" s="115">
        <f>-SUM(Z$7:Z41)+SUM(Z42:Z$124)</f>
        <v>286577.2361032448</v>
      </c>
      <c r="AJ42" s="115">
        <f t="shared" si="22"/>
        <v>5072.2487917203525</v>
      </c>
      <c r="AK42" s="115">
        <f t="shared" si="23"/>
        <v>-286577.2361032448</v>
      </c>
      <c r="AL42" s="104">
        <f t="shared" si="14"/>
        <v>-56.49904960715591</v>
      </c>
    </row>
    <row r="43" spans="8:38" ht="15.75" customHeight="1">
      <c r="H43" s="32"/>
      <c r="I43" s="155"/>
      <c r="J43" s="155"/>
      <c r="K43" s="32"/>
      <c r="P43" s="21">
        <f t="shared" si="11"/>
        <v>37</v>
      </c>
      <c r="Q43" s="21">
        <f t="shared" si="12"/>
        <v>36.5</v>
      </c>
      <c r="R43" s="21">
        <v>1</v>
      </c>
      <c r="S43" s="27">
        <f t="shared" si="4"/>
        <v>4.5</v>
      </c>
      <c r="T43" s="27">
        <f t="shared" si="5"/>
        <v>0</v>
      </c>
      <c r="U43" s="27">
        <f t="shared" si="18"/>
        <v>24</v>
      </c>
      <c r="V43" s="27">
        <f t="shared" si="19"/>
        <v>0</v>
      </c>
      <c r="W43" s="116">
        <f t="shared" si="6"/>
        <v>24</v>
      </c>
      <c r="X43" s="116">
        <f>'Soil Profile'!N73</f>
        <v>30.36714906058326</v>
      </c>
      <c r="Y43" s="104">
        <f t="shared" si="20"/>
        <v>728.8115774539982</v>
      </c>
      <c r="Z43" s="206">
        <f t="shared" si="21"/>
        <v>26601.622577070935</v>
      </c>
      <c r="AA43" s="208"/>
      <c r="AB43" s="202">
        <f t="shared" si="7"/>
        <v>41177.8541261509</v>
      </c>
      <c r="AC43" s="104">
        <f>IF(Q43=-$D$35,+(SUM(AB$7:AB42)-SUM(AB44:AB$114))/(Q43+$D$35+0.0001),+(SUM(AB$7:AB42)-SUM(AB44:AB$114))/(Q43+$D$35))</f>
        <v>-4743.262398254564</v>
      </c>
      <c r="AD43" s="104">
        <f>IF(ABS(AC43)&lt;Y43,SUM(Y$7:Y42)-AC43-SUM(Y44:Y$114),0)</f>
        <v>0</v>
      </c>
      <c r="AF43" s="21">
        <f t="shared" si="15"/>
        <v>35</v>
      </c>
      <c r="AG43" s="117">
        <f t="shared" si="13"/>
        <v>0.7291666666666666</v>
      </c>
      <c r="AH43" s="115">
        <f>SUM(Y$7:Y42)-SUM(Y43:Y$124)</f>
        <v>-3651.5274888353433</v>
      </c>
      <c r="AI43" s="115">
        <f>-SUM(Z$7:Z42)+SUM(Z43:Z$124)</f>
        <v>236141.62985082695</v>
      </c>
      <c r="AJ43" s="115">
        <f t="shared" si="22"/>
        <v>3651.5274888353433</v>
      </c>
      <c r="AK43" s="115">
        <f t="shared" si="23"/>
        <v>-236141.62985082695</v>
      </c>
      <c r="AL43" s="104">
        <f t="shared" si="14"/>
        <v>-64.66927349522554</v>
      </c>
    </row>
    <row r="44" spans="8:38" ht="15.75" customHeight="1">
      <c r="H44" s="32"/>
      <c r="I44" s="155"/>
      <c r="J44" s="155"/>
      <c r="K44" s="32"/>
      <c r="P44" s="21">
        <f t="shared" si="11"/>
        <v>38</v>
      </c>
      <c r="Q44" s="21">
        <f t="shared" si="12"/>
        <v>37.5</v>
      </c>
      <c r="R44" s="21">
        <v>1</v>
      </c>
      <c r="S44" s="27">
        <f t="shared" si="4"/>
        <v>4.5</v>
      </c>
      <c r="T44" s="27">
        <f t="shared" si="5"/>
        <v>0</v>
      </c>
      <c r="U44" s="27">
        <f t="shared" si="18"/>
        <v>24</v>
      </c>
      <c r="V44" s="27">
        <f t="shared" si="19"/>
        <v>0</v>
      </c>
      <c r="W44" s="116">
        <f t="shared" si="6"/>
        <v>24</v>
      </c>
      <c r="X44" s="116">
        <f>'Soil Profile'!N74</f>
        <v>31.135937644395497</v>
      </c>
      <c r="Y44" s="104">
        <f t="shared" si="20"/>
        <v>747.2625034654919</v>
      </c>
      <c r="Z44" s="206">
        <f t="shared" si="21"/>
        <v>28022.343879955948</v>
      </c>
      <c r="AA44" s="208"/>
      <c r="AB44" s="202">
        <f t="shared" si="7"/>
        <v>42967.593949265785</v>
      </c>
      <c r="AC44" s="104">
        <f>IF(Q44=-$D$35,+(SUM(AB$7:AB43)-SUM(AB45:AB$114))/(Q44+$D$35+0.0001),+(SUM(AB$7:AB43)-SUM(AB45:AB$114))/(Q44+$D$35))</f>
        <v>-3197.3717813211515</v>
      </c>
      <c r="AD44" s="104">
        <f>IF(ABS(AC44)&lt;Y44,SUM(Y$7:Y43)-AC44-SUM(Y45:Y$114),0)</f>
        <v>0</v>
      </c>
      <c r="AF44" s="21">
        <f t="shared" si="15"/>
        <v>36</v>
      </c>
      <c r="AG44" s="117">
        <f t="shared" si="13"/>
        <v>0.75</v>
      </c>
      <c r="AH44" s="115">
        <f>SUM(Y$7:Y43)-SUM(Y44:Y$124)</f>
        <v>-2193.9043339273485</v>
      </c>
      <c r="AI44" s="115">
        <f>-SUM(Z$7:Z43)+SUM(Z44:Z$124)</f>
        <v>182938.38469668507</v>
      </c>
      <c r="AJ44" s="115">
        <f t="shared" si="22"/>
        <v>2193.9043339273485</v>
      </c>
      <c r="AK44" s="115">
        <f t="shared" si="23"/>
        <v>-182938.38469668507</v>
      </c>
      <c r="AL44" s="104">
        <f t="shared" si="14"/>
        <v>-83.38485040922623</v>
      </c>
    </row>
    <row r="45" spans="8:38" ht="15.75" customHeight="1">
      <c r="H45" s="32"/>
      <c r="I45" s="155"/>
      <c r="J45" s="155"/>
      <c r="K45" s="32"/>
      <c r="P45" s="21">
        <f t="shared" si="11"/>
        <v>39</v>
      </c>
      <c r="Q45" s="21">
        <f t="shared" si="12"/>
        <v>38.5</v>
      </c>
      <c r="R45" s="21">
        <v>1</v>
      </c>
      <c r="S45" s="27">
        <f t="shared" si="4"/>
        <v>4.5</v>
      </c>
      <c r="T45" s="27">
        <f t="shared" si="5"/>
        <v>0</v>
      </c>
      <c r="U45" s="27">
        <f t="shared" si="18"/>
        <v>24</v>
      </c>
      <c r="V45" s="27">
        <f t="shared" si="19"/>
        <v>0</v>
      </c>
      <c r="W45" s="116">
        <f t="shared" si="6"/>
        <v>24</v>
      </c>
      <c r="X45" s="116">
        <f>'Soil Profile'!N75</f>
        <v>31.904726228207736</v>
      </c>
      <c r="Y45" s="104">
        <f t="shared" si="20"/>
        <v>765.7134294769857</v>
      </c>
      <c r="Z45" s="206">
        <f t="shared" si="21"/>
        <v>29479.96703486395</v>
      </c>
      <c r="AA45" s="208"/>
      <c r="AB45" s="202">
        <f t="shared" si="7"/>
        <v>44794.235624403664</v>
      </c>
      <c r="AC45" s="104">
        <f>IF(Q45=-$D$35,+(SUM(AB$7:AB44)-SUM(AB46:AB$114))/(Q45+$D$35+0.0001),+(SUM(AB$7:AB44)-SUM(AB46:AB$114))/(Q45+$D$35))</f>
        <v>-1642.5136385007988</v>
      </c>
      <c r="AD45" s="104">
        <f>IF(ABS(AC45)&lt;Y45,SUM(Y$7:Y44)-AC45-SUM(Y46:Y$114),0)</f>
        <v>0</v>
      </c>
      <c r="AF45" s="21">
        <f t="shared" si="15"/>
        <v>37</v>
      </c>
      <c r="AG45" s="117">
        <f t="shared" si="13"/>
        <v>0.7708333333333334</v>
      </c>
      <c r="AH45" s="115">
        <f>SUM(Y$7:Y44)-SUM(Y45:Y$124)</f>
        <v>-699.3793269963635</v>
      </c>
      <c r="AI45" s="115">
        <f>-SUM(Z$7:Z44)+SUM(Z45:Z$124)</f>
        <v>126893.6969367732</v>
      </c>
      <c r="AJ45" s="115">
        <f t="shared" si="22"/>
        <v>699.3793269963635</v>
      </c>
      <c r="AK45" s="115">
        <f t="shared" si="23"/>
        <v>-126893.6969367732</v>
      </c>
      <c r="AL45" s="104">
        <f t="shared" si="14"/>
        <v>-181.43758621197134</v>
      </c>
    </row>
    <row r="46" spans="8:38" ht="15.75" customHeight="1">
      <c r="H46" s="32"/>
      <c r="I46" s="155"/>
      <c r="J46" s="155"/>
      <c r="K46" s="32"/>
      <c r="P46" s="21">
        <f t="shared" si="11"/>
        <v>40</v>
      </c>
      <c r="Q46" s="21">
        <f t="shared" si="12"/>
        <v>39.5</v>
      </c>
      <c r="R46" s="21">
        <v>1</v>
      </c>
      <c r="S46" s="27">
        <f t="shared" si="4"/>
        <v>4.5</v>
      </c>
      <c r="T46" s="27">
        <f t="shared" si="5"/>
        <v>0</v>
      </c>
      <c r="U46" s="27">
        <f t="shared" si="18"/>
        <v>24</v>
      </c>
      <c r="V46" s="27">
        <f t="shared" si="19"/>
        <v>0</v>
      </c>
      <c r="W46" s="116">
        <f t="shared" si="6"/>
        <v>24</v>
      </c>
      <c r="X46" s="116">
        <f>'Soil Profile'!N76</f>
        <v>32.67351481201997</v>
      </c>
      <c r="Y46" s="104">
        <f t="shared" si="20"/>
        <v>784.1643554884793</v>
      </c>
      <c r="Z46" s="206">
        <f t="shared" si="21"/>
        <v>30974.492041794932</v>
      </c>
      <c r="AA46" s="208"/>
      <c r="AB46" s="202">
        <f t="shared" si="7"/>
        <v>46657.779151564515</v>
      </c>
      <c r="AC46" s="104">
        <f>IF(Q46=-$D$35,+(SUM(AB$7:AB45)-SUM(AB47:AB$114))/(Q46+$D$35+0.0001),+(SUM(AB$7:AB45)-SUM(AB47:AB$114))/(Q46+$D$35))</f>
        <v>-77.89971556854748</v>
      </c>
      <c r="AD46" s="104">
        <f>IF(ABS(AC46)&lt;Y46,SUM(Y$7:Y45)-AC46-SUM(Y47:Y$114),0)</f>
        <v>1694.111603014635</v>
      </c>
      <c r="AF46" s="21">
        <f t="shared" si="15"/>
        <v>38</v>
      </c>
      <c r="AG46" s="117">
        <f t="shared" si="13"/>
        <v>0.7916666666666666</v>
      </c>
      <c r="AH46" s="115">
        <f>SUM(Y$7:Y45)-SUM(Y46:Y$124)</f>
        <v>832.047531957608</v>
      </c>
      <c r="AI46" s="115">
        <f>-SUM(Z$7:Z45)+SUM(Z46:Z$124)</f>
        <v>67933.76286704524</v>
      </c>
      <c r="AJ46" s="115">
        <f t="shared" si="22"/>
        <v>-832.047531957608</v>
      </c>
      <c r="AK46" s="115">
        <f t="shared" si="23"/>
        <v>-67933.76286704524</v>
      </c>
      <c r="AL46" s="104">
        <f t="shared" si="14"/>
        <v>81.64649284784657</v>
      </c>
    </row>
    <row r="47" spans="8:38" ht="15.75" customHeight="1">
      <c r="H47" s="32"/>
      <c r="I47" s="155"/>
      <c r="J47" s="155"/>
      <c r="K47" s="32"/>
      <c r="P47" s="21">
        <f t="shared" si="11"/>
        <v>41</v>
      </c>
      <c r="Q47" s="21">
        <f t="shared" si="12"/>
        <v>40.5</v>
      </c>
      <c r="R47" s="21">
        <v>1</v>
      </c>
      <c r="S47" s="27">
        <f t="shared" si="4"/>
        <v>4.5</v>
      </c>
      <c r="T47" s="27">
        <f t="shared" si="5"/>
        <v>0</v>
      </c>
      <c r="U47" s="27">
        <f t="shared" si="18"/>
        <v>24</v>
      </c>
      <c r="V47" s="27">
        <f t="shared" si="19"/>
        <v>0</v>
      </c>
      <c r="W47" s="116">
        <f t="shared" si="6"/>
        <v>24</v>
      </c>
      <c r="X47" s="116">
        <f>'Soil Profile'!N77</f>
        <v>33.24247986712773</v>
      </c>
      <c r="Y47" s="104">
        <f t="shared" si="20"/>
        <v>797.8195168110655</v>
      </c>
      <c r="Z47" s="206">
        <f t="shared" si="21"/>
        <v>32311.69043084815</v>
      </c>
      <c r="AA47" s="208"/>
      <c r="AB47" s="202">
        <f t="shared" si="7"/>
        <v>48268.08076706946</v>
      </c>
      <c r="AC47" s="104">
        <f>IF(Q47=-$D$35,+(SUM(AB$7:AB46)-SUM(AB48:AB$114))/(Q47+$D$35+0.0001),+(SUM(AB$7:AB46)-SUM(AB48:AB$114))/(Q47+$D$35))</f>
        <v>1492.4103610298416</v>
      </c>
      <c r="AD47" s="104">
        <f>IF(ABS(AC47)&lt;Y47,SUM(Y$7:Y46)-AC47-SUM(Y48:Y$114),0)</f>
        <v>0</v>
      </c>
      <c r="AF47" s="21">
        <f t="shared" si="15"/>
        <v>39</v>
      </c>
      <c r="AG47" s="117">
        <f t="shared" si="13"/>
        <v>0.8125</v>
      </c>
      <c r="AH47" s="115">
        <f>SUM(Y$7:Y46)-SUM(Y47:Y$124)</f>
        <v>2400.376242934566</v>
      </c>
      <c r="AI47" s="115">
        <f>-SUM(Z$7:Z46)+SUM(Z47:Z$124)</f>
        <v>5984.778783455375</v>
      </c>
      <c r="AJ47" s="115">
        <f t="shared" si="22"/>
        <v>-2400.376242934566</v>
      </c>
      <c r="AK47" s="115">
        <f t="shared" si="23"/>
        <v>-5984.778783455375</v>
      </c>
      <c r="AL47" s="104">
        <f t="shared" si="14"/>
        <v>2.493266962240352</v>
      </c>
    </row>
    <row r="48" spans="16:38" ht="15.75" customHeight="1">
      <c r="P48" s="21">
        <f t="shared" si="11"/>
        <v>42</v>
      </c>
      <c r="Q48" s="21">
        <f t="shared" si="12"/>
        <v>41.5</v>
      </c>
      <c r="R48" s="21">
        <v>1</v>
      </c>
      <c r="S48" s="27">
        <f t="shared" si="4"/>
        <v>4.5</v>
      </c>
      <c r="T48" s="27">
        <f t="shared" si="5"/>
        <v>0</v>
      </c>
      <c r="U48" s="27">
        <f t="shared" si="18"/>
        <v>24</v>
      </c>
      <c r="V48" s="27">
        <f t="shared" si="19"/>
        <v>0</v>
      </c>
      <c r="W48" s="116">
        <f t="shared" si="6"/>
        <v>24</v>
      </c>
      <c r="X48" s="116">
        <f>'Soil Profile'!N78</f>
        <v>33.61162139353102</v>
      </c>
      <c r="Y48" s="104">
        <f t="shared" si="20"/>
        <v>806.6789134447445</v>
      </c>
      <c r="Z48" s="206">
        <f t="shared" si="21"/>
        <v>33477.1749079569</v>
      </c>
      <c r="AA48" s="208"/>
      <c r="AB48" s="202">
        <f t="shared" si="7"/>
        <v>49610.75317685179</v>
      </c>
      <c r="AC48" s="104">
        <f>IF(Q48=-$D$35,+(SUM(AB$7:AB47)-SUM(AB49:AB$114))/(Q48+$D$35+0.0001),+(SUM(AB$7:AB47)-SUM(AB49:AB$114))/(Q48+$D$35))</f>
        <v>3059.669281076857</v>
      </c>
      <c r="AD48" s="104">
        <f>IF(ABS(AC48)&lt;Y48,SUM(Y$7:Y47)-AC48-SUM(Y49:Y$114),0)</f>
        <v>0</v>
      </c>
      <c r="AF48" s="21">
        <f t="shared" si="15"/>
        <v>40</v>
      </c>
      <c r="AG48" s="117">
        <f t="shared" si="13"/>
        <v>0.8333333333333334</v>
      </c>
      <c r="AH48" s="115">
        <f>SUM(Y$7:Y47)-SUM(Y48:Y$124)</f>
        <v>3996.0152765566972</v>
      </c>
      <c r="AI48" s="115">
        <f>-SUM(Z$7:Z47)+SUM(Z48:Z$124)</f>
        <v>-58638.60207824092</v>
      </c>
      <c r="AJ48" s="115">
        <f t="shared" si="22"/>
        <v>-3996.0152765566972</v>
      </c>
      <c r="AK48" s="115">
        <f t="shared" si="23"/>
        <v>58638.60207824092</v>
      </c>
      <c r="AL48" s="104">
        <f t="shared" si="14"/>
        <v>-14.67426874523084</v>
      </c>
    </row>
    <row r="49" spans="16:38" ht="15.75" customHeight="1">
      <c r="P49" s="21">
        <f t="shared" si="11"/>
        <v>43</v>
      </c>
      <c r="Q49" s="21">
        <f t="shared" si="12"/>
        <v>42.5</v>
      </c>
      <c r="R49" s="21">
        <v>1</v>
      </c>
      <c r="S49" s="27">
        <f t="shared" si="4"/>
        <v>4.5</v>
      </c>
      <c r="T49" s="27">
        <f t="shared" si="5"/>
        <v>0</v>
      </c>
      <c r="U49" s="27">
        <f t="shared" si="18"/>
        <v>24</v>
      </c>
      <c r="V49" s="27">
        <f t="shared" si="19"/>
        <v>0</v>
      </c>
      <c r="W49" s="116">
        <f t="shared" si="6"/>
        <v>24</v>
      </c>
      <c r="X49" s="116">
        <f>'Soil Profile'!N79</f>
        <v>33.9807629199343</v>
      </c>
      <c r="Y49" s="104">
        <f t="shared" si="20"/>
        <v>815.5383100784231</v>
      </c>
      <c r="Z49" s="206">
        <f t="shared" si="21"/>
        <v>34660.37817833298</v>
      </c>
      <c r="AA49" s="208"/>
      <c r="AB49" s="202">
        <f t="shared" si="7"/>
        <v>50971.144379901445</v>
      </c>
      <c r="AC49" s="104">
        <f>IF(Q49=-$D$35,+(SUM(AB$7:AB48)-SUM(AB50:AB$114))/(Q49+$D$35+0.0001),+(SUM(AB$7:AB48)-SUM(AB50:AB$114))/(Q49+$D$35))</f>
        <v>4620.02493348768</v>
      </c>
      <c r="AD49" s="104">
        <f>IF(ABS(AC49)&lt;Y49,SUM(Y$7:Y48)-AC49-SUM(Y50:Y$114),0)</f>
        <v>0</v>
      </c>
      <c r="AF49" s="21">
        <f t="shared" si="15"/>
        <v>41</v>
      </c>
      <c r="AG49" s="117">
        <f t="shared" si="13"/>
        <v>0.8541666666666666</v>
      </c>
      <c r="AH49" s="115">
        <f>SUM(Y$7:Y48)-SUM(Y49:Y$124)</f>
        <v>5609.373103446187</v>
      </c>
      <c r="AI49" s="115">
        <f>-SUM(Z$7:Z48)+SUM(Z49:Z$124)</f>
        <v>-125592.95189415471</v>
      </c>
      <c r="AJ49" s="115">
        <f t="shared" si="22"/>
        <v>-5609.373103446187</v>
      </c>
      <c r="AK49" s="115">
        <f t="shared" si="23"/>
        <v>125592.95189415471</v>
      </c>
      <c r="AL49" s="104">
        <f t="shared" si="14"/>
        <v>-22.389837434239336</v>
      </c>
    </row>
    <row r="50" spans="16:38" ht="15.75" customHeight="1">
      <c r="P50" s="21">
        <f t="shared" si="11"/>
        <v>44</v>
      </c>
      <c r="Q50" s="21">
        <f t="shared" si="12"/>
        <v>43.5</v>
      </c>
      <c r="R50" s="21">
        <v>1</v>
      </c>
      <c r="S50" s="27">
        <f t="shared" si="4"/>
        <v>4.5</v>
      </c>
      <c r="T50" s="27">
        <f t="shared" si="5"/>
        <v>0</v>
      </c>
      <c r="U50" s="27">
        <f t="shared" si="18"/>
        <v>24</v>
      </c>
      <c r="V50" s="27">
        <f t="shared" si="19"/>
        <v>0</v>
      </c>
      <c r="W50" s="116">
        <f t="shared" si="6"/>
        <v>24</v>
      </c>
      <c r="X50" s="116">
        <f>'Soil Profile'!N80</f>
        <v>34.34990444633759</v>
      </c>
      <c r="Y50" s="104">
        <f t="shared" si="20"/>
        <v>824.3977067121021</v>
      </c>
      <c r="Z50" s="206">
        <f t="shared" si="21"/>
        <v>35861.300241976445</v>
      </c>
      <c r="AA50" s="208"/>
      <c r="AB50" s="202">
        <f t="shared" si="7"/>
        <v>52349.25437621849</v>
      </c>
      <c r="AC50" s="104">
        <f>IF(Q50=-$D$35,+(SUM(AB$7:AB49)-SUM(AB51:AB$114))/(Q50+$D$35+0.0001),+(SUM(AB$7:AB49)-SUM(AB51:AB$114))/(Q50+$D$35))</f>
        <v>6174.361529119683</v>
      </c>
      <c r="AD50" s="104">
        <f>IF(ABS(AC50)&lt;Y50,SUM(Y$7:Y49)-AC50-SUM(Y51:Y$114),0)</f>
        <v>0</v>
      </c>
      <c r="AF50" s="21">
        <f t="shared" si="15"/>
        <v>42</v>
      </c>
      <c r="AG50" s="117">
        <f t="shared" si="13"/>
        <v>0.875</v>
      </c>
      <c r="AH50" s="115">
        <f>SUM(Y$7:Y49)-SUM(Y50:Y$124)</f>
        <v>7240.449723603033</v>
      </c>
      <c r="AI50" s="115">
        <f>-SUM(Z$7:Z49)+SUM(Z50:Z$124)</f>
        <v>-194913.7082508207</v>
      </c>
      <c r="AJ50" s="115">
        <f t="shared" si="22"/>
        <v>-7240.449723603033</v>
      </c>
      <c r="AK50" s="115">
        <f t="shared" si="23"/>
        <v>194913.7082508207</v>
      </c>
      <c r="AL50" s="104">
        <f t="shared" si="14"/>
        <v>-26.9201107239823</v>
      </c>
    </row>
    <row r="51" spans="16:38" ht="15.75" customHeight="1">
      <c r="P51" s="21">
        <f t="shared" si="11"/>
        <v>45</v>
      </c>
      <c r="Q51" s="21">
        <f t="shared" si="12"/>
        <v>44.5</v>
      </c>
      <c r="R51" s="21">
        <v>1</v>
      </c>
      <c r="S51" s="27">
        <f t="shared" si="4"/>
        <v>0</v>
      </c>
      <c r="T51" s="27">
        <f t="shared" si="5"/>
        <v>14</v>
      </c>
      <c r="U51" s="27">
        <f t="shared" si="18"/>
        <v>24</v>
      </c>
      <c r="V51" s="27">
        <f t="shared" si="19"/>
        <v>0</v>
      </c>
      <c r="W51" s="116">
        <f t="shared" si="6"/>
        <v>24</v>
      </c>
      <c r="X51" s="116">
        <f>'Soil Profile'!N81</f>
        <v>34.719045972740865</v>
      </c>
      <c r="Y51" s="104">
        <f t="shared" si="20"/>
        <v>833.2571033457807</v>
      </c>
      <c r="Z51" s="206">
        <f t="shared" si="21"/>
        <v>37079.94109888724</v>
      </c>
      <c r="AA51" s="208"/>
      <c r="AB51" s="202">
        <f t="shared" si="7"/>
        <v>53745.083165802855</v>
      </c>
      <c r="AC51" s="104">
        <f>IF(Q51=-$D$35,+(SUM(AB$7:AB50)-SUM(AB52:AB$114))/(Q51+$D$35+0.0001),+(SUM(AB$7:AB50)-SUM(AB52:AB$114))/(Q51+$D$35))</f>
        <v>7723.508444048392</v>
      </c>
      <c r="AD51" s="104">
        <f>IF(ABS(AC51)&lt;Y51,SUM(Y$7:Y50)-AC51-SUM(Y52:Y$114),0)</f>
        <v>0</v>
      </c>
      <c r="AF51" s="21">
        <f t="shared" si="15"/>
        <v>43</v>
      </c>
      <c r="AG51" s="117">
        <f t="shared" si="13"/>
        <v>0.8958333333333334</v>
      </c>
      <c r="AH51" s="115">
        <f>SUM(Y$7:Y50)-SUM(Y51:Y$124)</f>
        <v>8889.245137027236</v>
      </c>
      <c r="AI51" s="115">
        <f>-SUM(Z$7:Z50)+SUM(Z51:Z$124)</f>
        <v>-266636.3087347736</v>
      </c>
      <c r="AJ51" s="115">
        <f t="shared" si="22"/>
        <v>-8889.245137027236</v>
      </c>
      <c r="AK51" s="115">
        <f t="shared" si="23"/>
        <v>266636.3087347736</v>
      </c>
      <c r="AL51" s="104">
        <f t="shared" si="14"/>
        <v>-29.99538258025167</v>
      </c>
    </row>
    <row r="52" spans="16:38" ht="15.75" customHeight="1">
      <c r="P52" s="21">
        <f t="shared" si="11"/>
        <v>46</v>
      </c>
      <c r="Q52" s="21">
        <f t="shared" si="12"/>
        <v>45.5</v>
      </c>
      <c r="R52" s="21">
        <v>1</v>
      </c>
      <c r="S52" s="27">
        <f t="shared" si="4"/>
        <v>0</v>
      </c>
      <c r="T52" s="27">
        <f t="shared" si="5"/>
        <v>14</v>
      </c>
      <c r="U52" s="27">
        <f t="shared" si="18"/>
        <v>24</v>
      </c>
      <c r="V52" s="27">
        <f t="shared" si="19"/>
        <v>0</v>
      </c>
      <c r="W52" s="116">
        <f t="shared" si="6"/>
        <v>24</v>
      </c>
      <c r="X52" s="116">
        <f>'Soil Profile'!N82</f>
        <v>35.088187499144155</v>
      </c>
      <c r="Y52" s="104">
        <f t="shared" si="20"/>
        <v>842.1164999794597</v>
      </c>
      <c r="Z52" s="206">
        <f t="shared" si="21"/>
        <v>38316.30074906542</v>
      </c>
      <c r="AA52" s="208"/>
      <c r="AB52" s="202">
        <f t="shared" si="7"/>
        <v>55158.630748654614</v>
      </c>
      <c r="AC52" s="104">
        <f>IF(Q52=-$D$35,+(SUM(AB$7:AB51)-SUM(AB53:AB$114))/(Q52+$D$35+0.0001),+(SUM(AB$7:AB51)-SUM(AB53:AB$114))/(Q52+$D$35))</f>
        <v>9268.244405428684</v>
      </c>
      <c r="AD52" s="104">
        <f>IF(ABS(AC52)&lt;Y52,SUM(Y$7:Y51)-AC52-SUM(Y53:Y$114),0)</f>
        <v>0</v>
      </c>
      <c r="AF52" s="21">
        <f t="shared" si="15"/>
        <v>44</v>
      </c>
      <c r="AG52" s="117">
        <f t="shared" si="13"/>
        <v>0.9166666666666666</v>
      </c>
      <c r="AH52" s="115">
        <f>SUM(Y$7:Y51)-SUM(Y52:Y$124)</f>
        <v>10555.759343718797</v>
      </c>
      <c r="AI52" s="115">
        <f>-SUM(Z$7:Z51)+SUM(Z52:Z$124)</f>
        <v>-340796.1909325481</v>
      </c>
      <c r="AJ52" s="115">
        <f t="shared" si="22"/>
        <v>-10555.759343718797</v>
      </c>
      <c r="AK52" s="115">
        <f t="shared" si="23"/>
        <v>340796.1909325481</v>
      </c>
      <c r="AL52" s="104">
        <f t="shared" si="14"/>
        <v>-32.28533162186373</v>
      </c>
    </row>
    <row r="53" spans="16:38" ht="15.75" customHeight="1">
      <c r="P53" s="21">
        <f t="shared" si="11"/>
        <v>47</v>
      </c>
      <c r="Q53" s="21">
        <f t="shared" si="12"/>
        <v>46.5</v>
      </c>
      <c r="R53" s="21">
        <v>1</v>
      </c>
      <c r="S53" s="27">
        <f t="shared" si="4"/>
        <v>0</v>
      </c>
      <c r="T53" s="27">
        <f t="shared" si="5"/>
        <v>14</v>
      </c>
      <c r="U53" s="27">
        <f t="shared" si="18"/>
        <v>24</v>
      </c>
      <c r="V53" s="27">
        <f t="shared" si="19"/>
        <v>0</v>
      </c>
      <c r="W53" s="116">
        <f t="shared" si="6"/>
        <v>24</v>
      </c>
      <c r="X53" s="116">
        <f>'Soil Profile'!N83</f>
        <v>35.45732902554744</v>
      </c>
      <c r="Y53" s="104">
        <f t="shared" si="20"/>
        <v>850.9758966131385</v>
      </c>
      <c r="Z53" s="206">
        <f t="shared" si="21"/>
        <v>39570.37919251094</v>
      </c>
      <c r="AA53" s="208"/>
      <c r="AB53" s="202">
        <f t="shared" si="7"/>
        <v>56589.89712477371</v>
      </c>
      <c r="AC53" s="104">
        <f>IF(Q53=-$D$35,+(SUM(AB$7:AB52)-SUM(AB54:AB$114))/(Q53+$D$35+0.0001),+(SUM(AB$7:AB52)-SUM(AB54:AB$114))/(Q53+$D$35))</f>
        <v>10809.301299684317</v>
      </c>
      <c r="AD53" s="104">
        <f>IF(ABS(AC53)&lt;Y53,SUM(Y$7:Y52)-AC53-SUM(Y54:Y$114),0)</f>
        <v>0</v>
      </c>
      <c r="AF53" s="21">
        <f t="shared" si="15"/>
        <v>45</v>
      </c>
      <c r="AG53" s="117">
        <f t="shared" si="13"/>
        <v>0.9375</v>
      </c>
      <c r="AH53" s="115">
        <f>SUM(Y$7:Y52)-SUM(Y53:Y$124)</f>
        <v>12239.992343677717</v>
      </c>
      <c r="AI53" s="115">
        <f>-SUM(Z$7:Z52)+SUM(Z53:Z$124)</f>
        <v>-417428.7924306789</v>
      </c>
      <c r="AJ53" s="115">
        <f t="shared" si="22"/>
        <v>-12239.992343677717</v>
      </c>
      <c r="AK53" s="115">
        <f t="shared" si="23"/>
        <v>417428.7924306789</v>
      </c>
      <c r="AL53" s="104">
        <f t="shared" si="14"/>
        <v>-34.10368084472635</v>
      </c>
    </row>
    <row r="54" spans="16:38" ht="15.75" customHeight="1">
      <c r="P54" s="21">
        <f t="shared" si="11"/>
        <v>48</v>
      </c>
      <c r="Q54" s="21">
        <f t="shared" si="12"/>
        <v>47.5</v>
      </c>
      <c r="R54" s="21">
        <v>1</v>
      </c>
      <c r="S54" s="27">
        <f t="shared" si="4"/>
        <v>0</v>
      </c>
      <c r="T54" s="27">
        <f t="shared" si="5"/>
        <v>14</v>
      </c>
      <c r="U54" s="27">
        <f t="shared" si="18"/>
        <v>24</v>
      </c>
      <c r="V54" s="27">
        <f t="shared" si="19"/>
        <v>0</v>
      </c>
      <c r="W54" s="116">
        <f t="shared" si="6"/>
        <v>24</v>
      </c>
      <c r="X54" s="116">
        <f>'Soil Profile'!N84</f>
        <v>35.82647055195072</v>
      </c>
      <c r="Y54" s="104">
        <f t="shared" si="20"/>
        <v>859.8352932468173</v>
      </c>
      <c r="Z54" s="206">
        <f t="shared" si="21"/>
        <v>40842.17642922382</v>
      </c>
      <c r="AA54" s="208"/>
      <c r="AB54" s="202">
        <f t="shared" si="7"/>
        <v>58038.88229416017</v>
      </c>
      <c r="AC54" s="104">
        <f>IF(Q54=-$D$35,+(SUM(AB$7:AB53)-SUM(AB55:AB$114))/(Q54+$D$35+0.0001),+(SUM(AB$7:AB53)-SUM(AB55:AB$114))/(Q54+$D$35))</f>
        <v>12347.367642191719</v>
      </c>
      <c r="AD54" s="104">
        <f>IF(ABS(AC54)&lt;Y54,SUM(Y$7:Y53)-AC54-SUM(Y55:Y$114),0)</f>
        <v>0</v>
      </c>
      <c r="AF54" s="21">
        <f t="shared" si="15"/>
        <v>46</v>
      </c>
      <c r="AG54" s="117">
        <f t="shared" si="13"/>
        <v>0.9583333333333334</v>
      </c>
      <c r="AH54" s="115">
        <f>SUM(Y$7:Y53)-SUM(Y54:Y$124)</f>
        <v>13941.944136903994</v>
      </c>
      <c r="AI54" s="115">
        <f>-SUM(Z$7:Z53)+SUM(Z54:Z$124)</f>
        <v>-496569.5508157008</v>
      </c>
      <c r="AJ54" s="115">
        <f t="shared" si="22"/>
        <v>-13941.944136903994</v>
      </c>
      <c r="AK54" s="115">
        <f t="shared" si="23"/>
        <v>496569.5508157008</v>
      </c>
      <c r="AL54" s="104">
        <f t="shared" si="14"/>
        <v>-35.616951691930325</v>
      </c>
    </row>
    <row r="55" spans="16:38" ht="15.75" customHeight="1">
      <c r="P55" s="21">
        <f t="shared" si="11"/>
        <v>49</v>
      </c>
      <c r="Q55" s="21">
        <f t="shared" si="12"/>
        <v>48.5</v>
      </c>
      <c r="R55" s="21">
        <v>1</v>
      </c>
      <c r="S55" s="27">
        <f t="shared" si="4"/>
        <v>0</v>
      </c>
      <c r="T55" s="27">
        <f t="shared" si="5"/>
        <v>0</v>
      </c>
      <c r="U55" s="27">
        <f t="shared" si="18"/>
        <v>0</v>
      </c>
      <c r="V55" s="27">
        <f t="shared" si="19"/>
        <v>0</v>
      </c>
      <c r="W55" s="116">
        <f t="shared" si="6"/>
        <v>0</v>
      </c>
      <c r="X55" s="116">
        <f>'Soil Profile'!N85</f>
        <v>36.195612078354</v>
      </c>
      <c r="Y55" s="104">
        <f t="shared" si="20"/>
        <v>0</v>
      </c>
      <c r="Z55" s="206">
        <f t="shared" si="21"/>
        <v>0</v>
      </c>
      <c r="AA55" s="208"/>
      <c r="AB55" s="202">
        <f t="shared" si="7"/>
        <v>0</v>
      </c>
      <c r="AC55" s="104">
        <f>IF(Q55=-$D$35,+(SUM(AB$7:AB54)-SUM(AB56:AB$114))/(Q55+$D$35+0.0001),+(SUM(AB$7:AB54)-SUM(AB56:AB$114))/(Q55+$D$35))</f>
        <v>13014.39705316936</v>
      </c>
      <c r="AD55" s="104">
        <f>IF(ABS(AC55)&lt;Y55,SUM(Y$7:Y54)-AC55-SUM(Y56:Y$114),0)</f>
        <v>0</v>
      </c>
      <c r="AF55" s="21">
        <f t="shared" si="15"/>
        <v>47</v>
      </c>
      <c r="AG55" s="117">
        <f t="shared" si="13"/>
        <v>0.9791666666666666</v>
      </c>
      <c r="AH55" s="115">
        <f>SUM(Y$7:Y54)-SUM(Y55:Y$124)</f>
        <v>15661.614723397628</v>
      </c>
      <c r="AI55" s="115">
        <f>-SUM(Z$7:Z54)+SUM(Z55:Z$124)</f>
        <v>-578253.9036741485</v>
      </c>
      <c r="AJ55" s="115">
        <f t="shared" si="22"/>
        <v>-15661.614723397628</v>
      </c>
      <c r="AK55" s="115">
        <f t="shared" si="23"/>
        <v>578253.9036741485</v>
      </c>
      <c r="AL55" s="104">
        <f t="shared" si="14"/>
        <v>-36.92172958451516</v>
      </c>
    </row>
    <row r="56" spans="16:38" ht="15.75" customHeight="1">
      <c r="P56" s="21">
        <f t="shared" si="11"/>
        <v>50</v>
      </c>
      <c r="Q56" s="21">
        <f t="shared" si="12"/>
        <v>49.5</v>
      </c>
      <c r="R56" s="21">
        <v>1</v>
      </c>
      <c r="S56" s="27">
        <f t="shared" si="4"/>
        <v>0</v>
      </c>
      <c r="T56" s="27">
        <f t="shared" si="5"/>
        <v>0</v>
      </c>
      <c r="U56" s="27">
        <f t="shared" si="18"/>
        <v>0</v>
      </c>
      <c r="V56" s="27">
        <f t="shared" si="19"/>
        <v>0</v>
      </c>
      <c r="W56" s="116">
        <f t="shared" si="6"/>
        <v>0</v>
      </c>
      <c r="X56" s="116">
        <f>'Soil Profile'!N86</f>
        <v>36.564753604757286</v>
      </c>
      <c r="Y56" s="104">
        <f t="shared" si="20"/>
        <v>0</v>
      </c>
      <c r="Z56" s="206">
        <f t="shared" si="21"/>
        <v>0</v>
      </c>
      <c r="AA56" s="208"/>
      <c r="AB56" s="202">
        <f t="shared" si="7"/>
        <v>0</v>
      </c>
      <c r="AC56" s="104">
        <f>IF(Q56=-$D$35,+(SUM(AB$7:AB55)-SUM(AB57:AB$114))/(Q56+$D$35+0.0001),+(SUM(AB$7:AB55)-SUM(AB57:AB$114))/(Q56+$D$35))</f>
        <v>12827.139541612967</v>
      </c>
      <c r="AD56" s="104">
        <f>IF(ABS(AC56)&lt;Y56,SUM(Y$7:Y55)-AC56-SUM(Y57:Y$114),0)</f>
        <v>0</v>
      </c>
      <c r="AF56" s="21">
        <f t="shared" si="15"/>
        <v>48</v>
      </c>
      <c r="AG56" s="117">
        <f t="shared" si="13"/>
        <v>1</v>
      </c>
      <c r="AH56" s="115">
        <f>SUM(Y$7:Y55)-SUM(Y56:Y$124)</f>
        <v>15661.614723397628</v>
      </c>
      <c r="AI56" s="115">
        <f>-SUM(Z$7:Z55)+SUM(Z56:Z$124)</f>
        <v>-578253.9036741485</v>
      </c>
      <c r="AJ56" s="115">
        <f t="shared" si="22"/>
        <v>-15661.614723397628</v>
      </c>
      <c r="AK56" s="115">
        <f t="shared" si="23"/>
        <v>578253.9036741485</v>
      </c>
      <c r="AL56" s="104">
        <f t="shared" si="14"/>
        <v>-36.92172958451516</v>
      </c>
    </row>
    <row r="57" spans="16:38" ht="15.75" customHeight="1">
      <c r="P57" s="21">
        <f t="shared" si="11"/>
        <v>51</v>
      </c>
      <c r="Q57" s="21">
        <f t="shared" si="12"/>
        <v>50.5</v>
      </c>
      <c r="R57" s="21">
        <v>1</v>
      </c>
      <c r="S57" s="27">
        <f t="shared" si="4"/>
        <v>0</v>
      </c>
      <c r="T57" s="27">
        <f t="shared" si="5"/>
        <v>0</v>
      </c>
      <c r="U57" s="27">
        <f t="shared" si="18"/>
        <v>0</v>
      </c>
      <c r="V57" s="27">
        <f t="shared" si="19"/>
        <v>0</v>
      </c>
      <c r="W57" s="116">
        <f t="shared" si="6"/>
        <v>0</v>
      </c>
      <c r="X57" s="116">
        <f>'Soil Profile'!N87</f>
        <v>36.933895131160575</v>
      </c>
      <c r="Y57" s="104">
        <f t="shared" si="20"/>
        <v>0</v>
      </c>
      <c r="Z57" s="206">
        <f t="shared" si="21"/>
        <v>0</v>
      </c>
      <c r="AA57" s="208"/>
      <c r="AB57" s="202">
        <f t="shared" si="7"/>
        <v>0</v>
      </c>
      <c r="AC57" s="104">
        <f>IF(Q57=-$D$35,+(SUM(AB$7:AB56)-SUM(AB58:AB$114))/(Q57+$D$35+0.0001),+(SUM(AB$7:AB56)-SUM(AB58:AB$114))/(Q57+$D$35))</f>
        <v>12645.19429988796</v>
      </c>
      <c r="AD57" s="104">
        <f>IF(ABS(AC57)&lt;Y57,SUM(Y$7:Y56)-AC57-SUM(Y58:Y$114),0)</f>
        <v>0</v>
      </c>
      <c r="AF57" s="21">
        <f t="shared" si="15"/>
        <v>49</v>
      </c>
      <c r="AG57" s="117">
        <f t="shared" si="13"/>
        <v>1.0208333333333333</v>
      </c>
      <c r="AH57" s="115">
        <f>SUM(Y$7:Y56)-SUM(Y57:Y$124)</f>
        <v>15661.614723397628</v>
      </c>
      <c r="AI57" s="115">
        <f>-SUM(Z$7:Z56)+SUM(Z57:Z$124)</f>
        <v>-578253.9036741485</v>
      </c>
      <c r="AJ57" s="115">
        <f t="shared" si="22"/>
        <v>-15661.614723397628</v>
      </c>
      <c r="AK57" s="115">
        <f t="shared" si="23"/>
        <v>578253.9036741485</v>
      </c>
      <c r="AL57" s="104">
        <f t="shared" si="14"/>
        <v>-36.92172958451516</v>
      </c>
    </row>
    <row r="58" spans="16:38" ht="15.75" customHeight="1">
      <c r="P58" s="21">
        <f t="shared" si="11"/>
        <v>52</v>
      </c>
      <c r="Q58" s="21">
        <f t="shared" si="12"/>
        <v>51.5</v>
      </c>
      <c r="R58" s="21">
        <v>1</v>
      </c>
      <c r="S58" s="27">
        <f t="shared" si="4"/>
        <v>0</v>
      </c>
      <c r="T58" s="27">
        <f t="shared" si="5"/>
        <v>0</v>
      </c>
      <c r="U58" s="27">
        <f t="shared" si="18"/>
        <v>0</v>
      </c>
      <c r="V58" s="27">
        <f t="shared" si="19"/>
        <v>0</v>
      </c>
      <c r="W58" s="116">
        <f t="shared" si="6"/>
        <v>0</v>
      </c>
      <c r="X58" s="116">
        <f>'Soil Profile'!N88</f>
        <v>37.30303665756386</v>
      </c>
      <c r="Y58" s="104">
        <f t="shared" si="20"/>
        <v>0</v>
      </c>
      <c r="Z58" s="206">
        <f t="shared" si="21"/>
        <v>0</v>
      </c>
      <c r="AA58" s="208"/>
      <c r="AB58" s="202">
        <f t="shared" si="7"/>
        <v>0</v>
      </c>
      <c r="AC58" s="104">
        <f>IF(Q58=-$D$35,+(SUM(AB$7:AB57)-SUM(AB59:AB$114))/(Q58+$D$35+0.0001),+(SUM(AB$7:AB57)-SUM(AB59:AB$114))/(Q58+$D$35))</f>
        <v>12468.338435553862</v>
      </c>
      <c r="AD58" s="104">
        <f>IF(ABS(AC58)&lt;Y58,SUM(Y$7:Y57)-AC58-SUM(Y59:Y$114),0)</f>
        <v>0</v>
      </c>
      <c r="AF58" s="21">
        <f t="shared" si="15"/>
        <v>50</v>
      </c>
      <c r="AG58" s="117">
        <f t="shared" si="13"/>
        <v>1.0416666666666667</v>
      </c>
      <c r="AH58" s="115">
        <f>SUM(Y$7:Y57)-SUM(Y58:Y$124)</f>
        <v>15661.614723397628</v>
      </c>
      <c r="AI58" s="115">
        <f>-SUM(Z$7:Z57)+SUM(Z58:Z$124)</f>
        <v>-578253.9036741485</v>
      </c>
      <c r="AJ58" s="115">
        <f t="shared" si="22"/>
        <v>-15661.614723397628</v>
      </c>
      <c r="AK58" s="115">
        <f t="shared" si="23"/>
        <v>578253.9036741485</v>
      </c>
      <c r="AL58" s="104">
        <f t="shared" si="14"/>
        <v>-36.92172958451516</v>
      </c>
    </row>
    <row r="59" spans="16:38" ht="15.75" customHeight="1">
      <c r="P59" s="21">
        <f t="shared" si="11"/>
        <v>53</v>
      </c>
      <c r="Q59" s="21">
        <f t="shared" si="12"/>
        <v>52.5</v>
      </c>
      <c r="R59" s="21">
        <v>1</v>
      </c>
      <c r="S59" s="27">
        <f t="shared" si="4"/>
        <v>0</v>
      </c>
      <c r="T59" s="27">
        <f t="shared" si="5"/>
        <v>0</v>
      </c>
      <c r="U59" s="27">
        <f t="shared" si="18"/>
        <v>0</v>
      </c>
      <c r="V59" s="27">
        <f t="shared" si="19"/>
        <v>0</v>
      </c>
      <c r="W59" s="116">
        <f t="shared" si="6"/>
        <v>0</v>
      </c>
      <c r="X59" s="116">
        <f>'Soil Profile'!N89</f>
        <v>37.67217818396715</v>
      </c>
      <c r="Y59" s="104">
        <f t="shared" si="20"/>
        <v>0</v>
      </c>
      <c r="Z59" s="206">
        <f t="shared" si="21"/>
        <v>0</v>
      </c>
      <c r="AA59" s="208"/>
      <c r="AB59" s="202">
        <f t="shared" si="7"/>
        <v>0</v>
      </c>
      <c r="AC59" s="104">
        <f>IF(Q59=-$D$35,+(SUM(AB$7:AB58)-SUM(AB60:AB$114))/(Q59+$D$35+0.0001),+(SUM(AB$7:AB58)-SUM(AB60:AB$114))/(Q59+$D$35))</f>
        <v>12296.361353684155</v>
      </c>
      <c r="AD59" s="104">
        <f>IF(ABS(AC59)&lt;Y59,SUM(Y$7:Y58)-AC59-SUM(Y60:Y$114),0)</f>
        <v>0</v>
      </c>
      <c r="AF59" s="21">
        <f t="shared" si="15"/>
        <v>51</v>
      </c>
      <c r="AG59" s="117">
        <f t="shared" si="13"/>
        <v>1.0625</v>
      </c>
      <c r="AH59" s="115">
        <f>SUM(Y$7:Y58)-SUM(Y59:Y$124)</f>
        <v>15661.614723397628</v>
      </c>
      <c r="AI59" s="115">
        <f>-SUM(Z$7:Z58)+SUM(Z59:Z$124)</f>
        <v>-578253.9036741485</v>
      </c>
      <c r="AJ59" s="115">
        <f t="shared" si="22"/>
        <v>-15661.614723397628</v>
      </c>
      <c r="AK59" s="115">
        <f t="shared" si="23"/>
        <v>578253.9036741485</v>
      </c>
      <c r="AL59" s="104">
        <f t="shared" si="14"/>
        <v>-36.92172958451516</v>
      </c>
    </row>
    <row r="60" spans="16:38" ht="15.75" customHeight="1">
      <c r="P60" s="21">
        <f t="shared" si="11"/>
        <v>54</v>
      </c>
      <c r="Q60" s="21">
        <f t="shared" si="12"/>
        <v>53.5</v>
      </c>
      <c r="R60" s="21">
        <v>1</v>
      </c>
      <c r="S60" s="27">
        <f t="shared" si="4"/>
        <v>0</v>
      </c>
      <c r="T60" s="27">
        <f t="shared" si="5"/>
        <v>0</v>
      </c>
      <c r="U60" s="27">
        <f t="shared" si="18"/>
        <v>0</v>
      </c>
      <c r="V60" s="27">
        <f t="shared" si="19"/>
        <v>0</v>
      </c>
      <c r="W60" s="116">
        <f t="shared" si="6"/>
        <v>0</v>
      </c>
      <c r="X60" s="116">
        <f>'Soil Profile'!N90</f>
        <v>38.04131971037042</v>
      </c>
      <c r="Y60" s="104">
        <f t="shared" si="20"/>
        <v>0</v>
      </c>
      <c r="Z60" s="206">
        <f t="shared" si="21"/>
        <v>0</v>
      </c>
      <c r="AA60" s="208"/>
      <c r="AB60" s="202">
        <f t="shared" si="7"/>
        <v>0</v>
      </c>
      <c r="AC60" s="104">
        <f>IF(Q60=-$D$35,+(SUM(AB$7:AB59)-SUM(AB61:AB$114))/(Q60+$D$35+0.0001),+(SUM(AB$7:AB59)-SUM(AB61:AB$114))/(Q60+$D$35))</f>
        <v>12129.063920300696</v>
      </c>
      <c r="AD60" s="104">
        <f>IF(ABS(AC60)&lt;Y60,SUM(Y$7:Y59)-AC60-SUM(Y61:Y$114),0)</f>
        <v>0</v>
      </c>
      <c r="AF60" s="21">
        <f t="shared" si="15"/>
        <v>52</v>
      </c>
      <c r="AG60" s="117">
        <f t="shared" si="13"/>
        <v>1.0833333333333333</v>
      </c>
      <c r="AH60" s="115">
        <f>SUM(Y$7:Y59)-SUM(Y60:Y$124)</f>
        <v>15661.614723397628</v>
      </c>
      <c r="AI60" s="115">
        <f>-SUM(Z$7:Z59)+SUM(Z60:Z$124)</f>
        <v>-578253.9036741485</v>
      </c>
      <c r="AJ60" s="115">
        <f t="shared" si="22"/>
        <v>-15661.614723397628</v>
      </c>
      <c r="AK60" s="115">
        <f t="shared" si="23"/>
        <v>578253.9036741485</v>
      </c>
      <c r="AL60" s="104">
        <f t="shared" si="14"/>
        <v>-36.92172958451516</v>
      </c>
    </row>
    <row r="61" spans="16:38" ht="15.75" customHeight="1">
      <c r="P61" s="21">
        <f t="shared" si="11"/>
        <v>55</v>
      </c>
      <c r="Q61" s="21">
        <f t="shared" si="12"/>
        <v>54.5</v>
      </c>
      <c r="R61" s="21">
        <v>1</v>
      </c>
      <c r="S61" s="27">
        <f t="shared" si="4"/>
        <v>0</v>
      </c>
      <c r="T61" s="27">
        <f t="shared" si="5"/>
        <v>0</v>
      </c>
      <c r="U61" s="27">
        <f t="shared" si="18"/>
        <v>0</v>
      </c>
      <c r="V61" s="27">
        <f t="shared" si="19"/>
        <v>0</v>
      </c>
      <c r="W61" s="116">
        <f t="shared" si="6"/>
        <v>0</v>
      </c>
      <c r="X61" s="116">
        <f>'Soil Profile'!N91</f>
        <v>38.41046123677371</v>
      </c>
      <c r="Y61" s="104">
        <f t="shared" si="20"/>
        <v>0</v>
      </c>
      <c r="Z61" s="206">
        <f t="shared" si="21"/>
        <v>0</v>
      </c>
      <c r="AA61" s="208"/>
      <c r="AB61" s="202">
        <f t="shared" si="7"/>
        <v>0</v>
      </c>
      <c r="AC61" s="104">
        <f>IF(Q61=-$D$35,+(SUM(AB$7:AB60)-SUM(AB62:AB$114))/(Q61+$D$35+0.0001),+(SUM(AB$7:AB60)-SUM(AB62:AB$114))/(Q61+$D$35))</f>
        <v>11966.257693182566</v>
      </c>
      <c r="AD61" s="104">
        <f>IF(ABS(AC61)&lt;Y61,SUM(Y$7:Y60)-AC61-SUM(Y62:Y$114),0)</f>
        <v>0</v>
      </c>
      <c r="AF61" s="21">
        <f t="shared" si="15"/>
        <v>53</v>
      </c>
      <c r="AG61" s="117">
        <f t="shared" si="13"/>
        <v>1.1041666666666667</v>
      </c>
      <c r="AH61" s="115">
        <f>SUM(Y$7:Y60)-SUM(Y61:Y$124)</f>
        <v>15661.614723397628</v>
      </c>
      <c r="AI61" s="115">
        <f>-SUM(Z$7:Z60)+SUM(Z61:Z$124)</f>
        <v>-578253.9036741485</v>
      </c>
      <c r="AJ61" s="115">
        <f t="shared" si="22"/>
        <v>-15661.614723397628</v>
      </c>
      <c r="AK61" s="115">
        <f t="shared" si="23"/>
        <v>578253.9036741485</v>
      </c>
      <c r="AL61" s="104">
        <f t="shared" si="14"/>
        <v>-36.92172958451516</v>
      </c>
    </row>
    <row r="62" spans="16:38" ht="15.75" customHeight="1">
      <c r="P62" s="21">
        <f t="shared" si="11"/>
        <v>56</v>
      </c>
      <c r="Q62" s="21">
        <f t="shared" si="12"/>
        <v>55.5</v>
      </c>
      <c r="R62" s="21">
        <v>1</v>
      </c>
      <c r="S62" s="27">
        <f t="shared" si="4"/>
        <v>0</v>
      </c>
      <c r="T62" s="27">
        <f t="shared" si="5"/>
        <v>0</v>
      </c>
      <c r="U62" s="27">
        <f t="shared" si="18"/>
        <v>0</v>
      </c>
      <c r="V62" s="27">
        <f t="shared" si="19"/>
        <v>0</v>
      </c>
      <c r="W62" s="116">
        <f t="shared" si="6"/>
        <v>0</v>
      </c>
      <c r="X62" s="116">
        <f>'Soil Profile'!N92</f>
        <v>38.779602763176996</v>
      </c>
      <c r="Y62" s="104">
        <f t="shared" si="20"/>
        <v>0</v>
      </c>
      <c r="Z62" s="206">
        <f t="shared" si="21"/>
        <v>0</v>
      </c>
      <c r="AA62" s="208"/>
      <c r="AB62" s="202">
        <f t="shared" si="7"/>
        <v>0</v>
      </c>
      <c r="AC62" s="104">
        <f>IF(Q62=-$D$35,+(SUM(AB$7:AB61)-SUM(AB63:AB$114))/(Q62+$D$35+0.0001),+(SUM(AB$7:AB61)-SUM(AB63:AB$114))/(Q62+$D$35))</f>
        <v>11807.764213802664</v>
      </c>
      <c r="AD62" s="104">
        <f>IF(ABS(AC62)&lt;Y62,SUM(Y$7:Y61)-AC62-SUM(Y63:Y$114),0)</f>
        <v>0</v>
      </c>
      <c r="AF62" s="21">
        <f t="shared" si="15"/>
        <v>54</v>
      </c>
      <c r="AG62" s="117">
        <f t="shared" si="13"/>
        <v>1.125</v>
      </c>
      <c r="AH62" s="115">
        <f>SUM(Y$7:Y61)-SUM(Y62:Y$124)</f>
        <v>15661.614723397628</v>
      </c>
      <c r="AI62" s="115">
        <f>-SUM(Z$7:Z61)+SUM(Z62:Z$124)</f>
        <v>-578253.9036741485</v>
      </c>
      <c r="AJ62" s="115">
        <f t="shared" si="22"/>
        <v>-15661.614723397628</v>
      </c>
      <c r="AK62" s="115">
        <f t="shared" si="23"/>
        <v>578253.9036741485</v>
      </c>
      <c r="AL62" s="104">
        <f t="shared" si="14"/>
        <v>-36.92172958451516</v>
      </c>
    </row>
    <row r="63" spans="16:38" ht="15.75" customHeight="1">
      <c r="P63" s="21">
        <f t="shared" si="11"/>
        <v>57</v>
      </c>
      <c r="Q63" s="21">
        <f t="shared" si="12"/>
        <v>56.5</v>
      </c>
      <c r="R63" s="21">
        <v>1</v>
      </c>
      <c r="S63" s="27">
        <f t="shared" si="4"/>
        <v>0</v>
      </c>
      <c r="T63" s="27">
        <f t="shared" si="5"/>
        <v>0</v>
      </c>
      <c r="U63" s="27">
        <f t="shared" si="18"/>
        <v>0</v>
      </c>
      <c r="V63" s="27">
        <f t="shared" si="19"/>
        <v>0</v>
      </c>
      <c r="W63" s="116">
        <f t="shared" si="6"/>
        <v>0</v>
      </c>
      <c r="X63" s="116">
        <f>'Soil Profile'!N93</f>
        <v>39.14874428958028</v>
      </c>
      <c r="Y63" s="104">
        <f t="shared" si="20"/>
        <v>0</v>
      </c>
      <c r="Z63" s="206">
        <f t="shared" si="21"/>
        <v>0</v>
      </c>
      <c r="AA63" s="208"/>
      <c r="AB63" s="202">
        <f t="shared" si="7"/>
        <v>0</v>
      </c>
      <c r="AC63" s="104">
        <f>IF(Q63=-$D$35,+(SUM(AB$7:AB62)-SUM(AB64:AB$114))/(Q63+$D$35+0.0001),+(SUM(AB$7:AB62)-SUM(AB64:AB$114))/(Q63+$D$35))</f>
        <v>11653.414354798708</v>
      </c>
      <c r="AD63" s="104">
        <f>IF(ABS(AC63)&lt;Y63,SUM(Y$7:Y62)-AC63-SUM(Y64:Y$114),0)</f>
        <v>0</v>
      </c>
      <c r="AF63" s="21">
        <f t="shared" si="15"/>
        <v>55</v>
      </c>
      <c r="AG63" s="117">
        <f t="shared" si="13"/>
        <v>1.1458333333333333</v>
      </c>
      <c r="AH63" s="115">
        <f>SUM(Y$7:Y62)-SUM(Y63:Y$124)</f>
        <v>15661.614723397628</v>
      </c>
      <c r="AI63" s="115">
        <f>-SUM(Z$7:Z62)+SUM(Z63:Z$124)</f>
        <v>-578253.9036741485</v>
      </c>
      <c r="AJ63" s="115">
        <f t="shared" si="22"/>
        <v>-15661.614723397628</v>
      </c>
      <c r="AK63" s="115">
        <f t="shared" si="23"/>
        <v>578253.9036741485</v>
      </c>
      <c r="AL63" s="104">
        <f t="shared" si="14"/>
        <v>-36.92172958451516</v>
      </c>
    </row>
    <row r="64" spans="16:38" ht="15.75" customHeight="1">
      <c r="P64" s="21">
        <f t="shared" si="11"/>
        <v>58</v>
      </c>
      <c r="Q64" s="21">
        <f t="shared" si="12"/>
        <v>57.5</v>
      </c>
      <c r="R64" s="21">
        <v>1</v>
      </c>
      <c r="S64" s="27">
        <f t="shared" si="4"/>
        <v>0</v>
      </c>
      <c r="T64" s="27">
        <f t="shared" si="5"/>
        <v>0</v>
      </c>
      <c r="U64" s="27">
        <f t="shared" si="18"/>
        <v>0</v>
      </c>
      <c r="V64" s="27">
        <f t="shared" si="19"/>
        <v>0</v>
      </c>
      <c r="W64" s="116">
        <f t="shared" si="6"/>
        <v>0</v>
      </c>
      <c r="X64" s="116">
        <f>'Soil Profile'!N94</f>
        <v>39.51788581598356</v>
      </c>
      <c r="Y64" s="104">
        <f t="shared" si="20"/>
        <v>0</v>
      </c>
      <c r="Z64" s="206">
        <f t="shared" si="21"/>
        <v>0</v>
      </c>
      <c r="AA64" s="208"/>
      <c r="AB64" s="202">
        <f t="shared" si="7"/>
        <v>0</v>
      </c>
      <c r="AC64" s="104">
        <f>IF(Q64=-$D$35,+(SUM(AB$7:AB63)-SUM(AB65:AB$114))/(Q64+$D$35+0.0001),+(SUM(AB$7:AB63)-SUM(AB65:AB$114))/(Q64+$D$35))</f>
        <v>11503.047717962596</v>
      </c>
      <c r="AD64" s="104">
        <f>IF(ABS(AC64)&lt;Y64,SUM(Y$7:Y63)-AC64-SUM(Y65:Y$114),0)</f>
        <v>0</v>
      </c>
      <c r="AF64" s="21">
        <f t="shared" si="15"/>
        <v>56</v>
      </c>
      <c r="AG64" s="117">
        <f t="shared" si="13"/>
        <v>1.1666666666666667</v>
      </c>
      <c r="AH64" s="115">
        <f>SUM(Y$7:Y63)-SUM(Y64:Y$124)</f>
        <v>15661.614723397628</v>
      </c>
      <c r="AI64" s="115">
        <f>-SUM(Z$7:Z63)+SUM(Z64:Z$124)</f>
        <v>-578253.9036741485</v>
      </c>
      <c r="AJ64" s="115">
        <f t="shared" si="22"/>
        <v>-15661.614723397628</v>
      </c>
      <c r="AK64" s="115">
        <f t="shared" si="23"/>
        <v>578253.9036741485</v>
      </c>
      <c r="AL64" s="104">
        <f t="shared" si="14"/>
        <v>-36.92172958451516</v>
      </c>
    </row>
    <row r="65" spans="16:38" ht="15.75" customHeight="1">
      <c r="P65" s="21">
        <f t="shared" si="11"/>
        <v>59</v>
      </c>
      <c r="Q65" s="21">
        <f t="shared" si="12"/>
        <v>58.5</v>
      </c>
      <c r="R65" s="21">
        <v>1</v>
      </c>
      <c r="S65" s="27">
        <f t="shared" si="4"/>
        <v>0</v>
      </c>
      <c r="T65" s="27">
        <f t="shared" si="5"/>
        <v>0</v>
      </c>
      <c r="U65" s="27">
        <f t="shared" si="18"/>
        <v>0</v>
      </c>
      <c r="V65" s="27">
        <f t="shared" si="19"/>
        <v>0</v>
      </c>
      <c r="W65" s="116">
        <f t="shared" si="6"/>
        <v>0</v>
      </c>
      <c r="X65" s="116">
        <f>'Soil Profile'!N95</f>
        <v>39.887027342386844</v>
      </c>
      <c r="Y65" s="104">
        <f t="shared" si="20"/>
        <v>0</v>
      </c>
      <c r="Z65" s="206">
        <f t="shared" si="21"/>
        <v>0</v>
      </c>
      <c r="AA65" s="208"/>
      <c r="AB65" s="202">
        <f t="shared" si="7"/>
        <v>0</v>
      </c>
      <c r="AC65" s="104">
        <f>IF(Q65=-$D$35,+(SUM(AB$7:AB64)-SUM(AB66:AB$114))/(Q65+$D$35+0.0001),+(SUM(AB$7:AB64)-SUM(AB66:AB$114))/(Q65+$D$35))</f>
        <v>11356.512078243328</v>
      </c>
      <c r="AD65" s="104">
        <f>IF(ABS(AC65)&lt;Y65,SUM(Y$7:Y64)-AC65-SUM(Y66:Y$114),0)</f>
        <v>0</v>
      </c>
      <c r="AF65" s="21">
        <f t="shared" si="15"/>
        <v>57</v>
      </c>
      <c r="AG65" s="117">
        <f t="shared" si="13"/>
        <v>1.1875</v>
      </c>
      <c r="AH65" s="115">
        <f>SUM(Y$7:Y64)-SUM(Y65:Y$124)</f>
        <v>15661.614723397628</v>
      </c>
      <c r="AI65" s="115">
        <f>-SUM(Z$7:Z64)+SUM(Z65:Z$124)</f>
        <v>-578253.9036741485</v>
      </c>
      <c r="AJ65" s="115">
        <f t="shared" si="22"/>
        <v>-15661.614723397628</v>
      </c>
      <c r="AK65" s="115">
        <f t="shared" si="23"/>
        <v>578253.9036741485</v>
      </c>
      <c r="AL65" s="104">
        <f t="shared" si="14"/>
        <v>-36.92172958451516</v>
      </c>
    </row>
    <row r="66" spans="16:38" ht="15.75" customHeight="1">
      <c r="P66" s="21">
        <f t="shared" si="11"/>
        <v>60</v>
      </c>
      <c r="Q66" s="21">
        <f t="shared" si="12"/>
        <v>59.5</v>
      </c>
      <c r="R66" s="21">
        <v>1</v>
      </c>
      <c r="S66" s="27">
        <f t="shared" si="4"/>
        <v>0</v>
      </c>
      <c r="T66" s="27">
        <f t="shared" si="5"/>
        <v>0</v>
      </c>
      <c r="U66" s="27">
        <f t="shared" si="18"/>
        <v>0</v>
      </c>
      <c r="V66" s="27">
        <f t="shared" si="19"/>
        <v>0</v>
      </c>
      <c r="W66" s="116">
        <f t="shared" si="6"/>
        <v>0</v>
      </c>
      <c r="X66" s="116">
        <f>'Soil Profile'!N96</f>
        <v>40.25616886879013</v>
      </c>
      <c r="Y66" s="104">
        <f t="shared" si="20"/>
        <v>0</v>
      </c>
      <c r="Z66" s="206">
        <f t="shared" si="21"/>
        <v>0</v>
      </c>
      <c r="AA66" s="208"/>
      <c r="AB66" s="202">
        <f t="shared" si="7"/>
        <v>0</v>
      </c>
      <c r="AC66" s="104">
        <f>IF(Q66=-$D$35,+(SUM(AB$7:AB65)-SUM(AB67:AB$114))/(Q66+$D$35+0.0001),+(SUM(AB$7:AB65)-SUM(AB67:AB$114))/(Q66+$D$35))</f>
        <v>11213.662869711965</v>
      </c>
      <c r="AD66" s="104">
        <f>IF(ABS(AC66)&lt;Y66,SUM(Y$7:Y65)-AC66-SUM(Y67:Y$114),0)</f>
        <v>0</v>
      </c>
      <c r="AF66" s="21">
        <f t="shared" si="15"/>
        <v>58</v>
      </c>
      <c r="AG66" s="117">
        <f t="shared" si="13"/>
        <v>1.2083333333333333</v>
      </c>
      <c r="AH66" s="115">
        <f>SUM(Y$7:Y65)-SUM(Y66:Y$124)</f>
        <v>15661.614723397628</v>
      </c>
      <c r="AI66" s="115">
        <f>-SUM(Z$7:Z65)+SUM(Z66:Z$124)</f>
        <v>-578253.9036741485</v>
      </c>
      <c r="AJ66" s="115">
        <f t="shared" si="22"/>
        <v>-15661.614723397628</v>
      </c>
      <c r="AK66" s="115">
        <f t="shared" si="23"/>
        <v>578253.9036741485</v>
      </c>
      <c r="AL66" s="104">
        <f t="shared" si="14"/>
        <v>-36.92172958451516</v>
      </c>
    </row>
    <row r="67" spans="16:38" ht="15.75" customHeight="1">
      <c r="P67" s="21">
        <f t="shared" si="11"/>
        <v>61</v>
      </c>
      <c r="Q67" s="21">
        <f t="shared" si="12"/>
        <v>60.5</v>
      </c>
      <c r="R67" s="21">
        <v>1</v>
      </c>
      <c r="S67" s="27">
        <f t="shared" si="4"/>
        <v>0</v>
      </c>
      <c r="T67" s="27">
        <f t="shared" si="5"/>
        <v>0</v>
      </c>
      <c r="U67" s="27">
        <f t="shared" si="18"/>
        <v>0</v>
      </c>
      <c r="V67" s="27">
        <f t="shared" si="19"/>
        <v>0</v>
      </c>
      <c r="W67" s="116">
        <f t="shared" si="6"/>
        <v>0</v>
      </c>
      <c r="X67" s="116">
        <f>'Soil Profile'!N97</f>
        <v>40.62531039519341</v>
      </c>
      <c r="Y67" s="104">
        <f t="shared" si="20"/>
        <v>0</v>
      </c>
      <c r="Z67" s="206">
        <f t="shared" si="21"/>
        <v>0</v>
      </c>
      <c r="AA67" s="208"/>
      <c r="AB67" s="202">
        <f t="shared" si="7"/>
        <v>0</v>
      </c>
      <c r="AC67" s="104">
        <f>IF(Q67=-$D$35,+(SUM(AB$7:AB66)-SUM(AB68:AB$114))/(Q67+$D$35+0.0001),+(SUM(AB$7:AB66)-SUM(AB68:AB$114))/(Q67+$D$35))</f>
        <v>11074.362709839766</v>
      </c>
      <c r="AD67" s="104">
        <f>IF(ABS(AC67)&lt;Y67,SUM(Y$7:Y66)-AC67-SUM(Y68:Y$114),0)</f>
        <v>0</v>
      </c>
      <c r="AF67" s="21">
        <f t="shared" si="15"/>
        <v>59</v>
      </c>
      <c r="AG67" s="117">
        <f t="shared" si="13"/>
        <v>1.2291666666666667</v>
      </c>
      <c r="AH67" s="115">
        <f>SUM(Y$7:Y66)-SUM(Y67:Y$124)</f>
        <v>15661.614723397628</v>
      </c>
      <c r="AI67" s="115">
        <f>-SUM(Z$7:Z66)+SUM(Z67:Z$124)</f>
        <v>-578253.9036741485</v>
      </c>
      <c r="AJ67" s="115">
        <f t="shared" si="22"/>
        <v>-15661.614723397628</v>
      </c>
      <c r="AK67" s="115">
        <f t="shared" si="23"/>
        <v>578253.9036741485</v>
      </c>
      <c r="AL67" s="104">
        <f t="shared" si="14"/>
        <v>-36.92172958451516</v>
      </c>
    </row>
    <row r="68" spans="16:38" ht="15.75" customHeight="1">
      <c r="P68" s="21">
        <f t="shared" si="11"/>
        <v>62</v>
      </c>
      <c r="Q68" s="21">
        <f t="shared" si="12"/>
        <v>61.5</v>
      </c>
      <c r="R68" s="21">
        <v>1</v>
      </c>
      <c r="S68" s="27">
        <f t="shared" si="4"/>
        <v>0</v>
      </c>
      <c r="T68" s="27">
        <f t="shared" si="5"/>
        <v>0</v>
      </c>
      <c r="U68" s="27">
        <f t="shared" si="18"/>
        <v>0</v>
      </c>
      <c r="V68" s="27">
        <f t="shared" si="19"/>
        <v>0</v>
      </c>
      <c r="W68" s="116">
        <f t="shared" si="6"/>
        <v>0</v>
      </c>
      <c r="X68" s="116">
        <f>'Soil Profile'!N98</f>
        <v>40.9944519215967</v>
      </c>
      <c r="Y68" s="104">
        <f t="shared" si="20"/>
        <v>0</v>
      </c>
      <c r="Z68" s="206">
        <f t="shared" si="21"/>
        <v>0</v>
      </c>
      <c r="AA68" s="208"/>
      <c r="AB68" s="202">
        <f t="shared" si="7"/>
        <v>0</v>
      </c>
      <c r="AC68" s="104">
        <f>IF(Q68=-$D$35,+(SUM(AB$7:AB67)-SUM(AB69:AB$114))/(Q68+$D$35+0.0001),+(SUM(AB$7:AB67)-SUM(AB69:AB$114))/(Q68+$D$35))</f>
        <v>10938.480958798787</v>
      </c>
      <c r="AD68" s="104">
        <f>IF(ABS(AC68)&lt;Y68,SUM(Y$7:Y67)-AC68-SUM(Y69:Y$114),0)</f>
        <v>0</v>
      </c>
      <c r="AF68" s="21">
        <f t="shared" si="15"/>
        <v>60</v>
      </c>
      <c r="AG68" s="117">
        <f t="shared" si="13"/>
        <v>1.25</v>
      </c>
      <c r="AH68" s="115">
        <f>SUM(Y$7:Y67)-SUM(Y68:Y$124)</f>
        <v>15661.614723397628</v>
      </c>
      <c r="AI68" s="115">
        <f>-SUM(Z$7:Z67)+SUM(Z68:Z$124)</f>
        <v>-578253.9036741485</v>
      </c>
      <c r="AJ68" s="115">
        <f t="shared" si="22"/>
        <v>-15661.614723397628</v>
      </c>
      <c r="AK68" s="115">
        <f t="shared" si="23"/>
        <v>578253.9036741485</v>
      </c>
      <c r="AL68" s="104">
        <f t="shared" si="14"/>
        <v>-36.92172958451516</v>
      </c>
    </row>
    <row r="69" spans="16:38" ht="15.75" customHeight="1">
      <c r="P69" s="21">
        <f t="shared" si="11"/>
        <v>63</v>
      </c>
      <c r="Q69" s="21">
        <f t="shared" si="12"/>
        <v>62.5</v>
      </c>
      <c r="R69" s="21">
        <v>1</v>
      </c>
      <c r="S69" s="27">
        <f t="shared" si="4"/>
        <v>0</v>
      </c>
      <c r="T69" s="27">
        <f t="shared" si="5"/>
        <v>0</v>
      </c>
      <c r="U69" s="27">
        <f t="shared" si="18"/>
        <v>0</v>
      </c>
      <c r="V69" s="27">
        <f t="shared" si="19"/>
        <v>0</v>
      </c>
      <c r="W69" s="116">
        <f t="shared" si="6"/>
        <v>0</v>
      </c>
      <c r="X69" s="116">
        <f>'Soil Profile'!N99</f>
        <v>41.363593447999975</v>
      </c>
      <c r="Y69" s="104">
        <f t="shared" si="20"/>
        <v>0</v>
      </c>
      <c r="Z69" s="206">
        <f t="shared" si="21"/>
        <v>0</v>
      </c>
      <c r="AA69" s="208"/>
      <c r="AB69" s="202">
        <f t="shared" si="7"/>
        <v>0</v>
      </c>
      <c r="AC69" s="104">
        <f>IF(Q69=-$D$35,+(SUM(AB$7:AB68)-SUM(AB70:AB$114))/(Q69+$D$35+0.0001),+(SUM(AB$7:AB68)-SUM(AB70:AB$114))/(Q69+$D$35))</f>
        <v>10805.893310813348</v>
      </c>
      <c r="AD69" s="104">
        <f>IF(ABS(AC69)&lt;Y69,SUM(Y$7:Y68)-AC69-SUM(Y70:Y$114),0)</f>
        <v>0</v>
      </c>
      <c r="AF69" s="21">
        <f t="shared" si="15"/>
        <v>61</v>
      </c>
      <c r="AG69" s="117">
        <f t="shared" si="13"/>
        <v>1.2708333333333333</v>
      </c>
      <c r="AH69" s="115">
        <f>SUM(Y$7:Y68)-SUM(Y69:Y$124)</f>
        <v>15661.614723397628</v>
      </c>
      <c r="AI69" s="115">
        <f>-SUM(Z$7:Z68)+SUM(Z69:Z$124)</f>
        <v>-578253.9036741485</v>
      </c>
      <c r="AJ69" s="115">
        <f t="shared" si="22"/>
        <v>-15661.614723397628</v>
      </c>
      <c r="AK69" s="115">
        <f t="shared" si="23"/>
        <v>578253.9036741485</v>
      </c>
      <c r="AL69" s="104">
        <f t="shared" si="14"/>
        <v>-36.92172958451516</v>
      </c>
    </row>
    <row r="70" spans="16:38" ht="15.75" customHeight="1">
      <c r="P70" s="21">
        <f t="shared" si="11"/>
        <v>64</v>
      </c>
      <c r="Q70" s="21">
        <f t="shared" si="12"/>
        <v>63.5</v>
      </c>
      <c r="R70" s="21">
        <v>1</v>
      </c>
      <c r="S70" s="27">
        <f t="shared" si="4"/>
        <v>0</v>
      </c>
      <c r="T70" s="27">
        <f t="shared" si="5"/>
        <v>0</v>
      </c>
      <c r="U70" s="27">
        <f t="shared" si="18"/>
        <v>0</v>
      </c>
      <c r="V70" s="27">
        <f t="shared" si="19"/>
        <v>0</v>
      </c>
      <c r="W70" s="116">
        <f t="shared" si="6"/>
        <v>0</v>
      </c>
      <c r="X70" s="116">
        <f>'Soil Profile'!N100</f>
        <v>41.732734974403265</v>
      </c>
      <c r="Y70" s="104">
        <f t="shared" si="20"/>
        <v>0</v>
      </c>
      <c r="Z70" s="206">
        <f t="shared" si="21"/>
        <v>0</v>
      </c>
      <c r="AA70" s="208"/>
      <c r="AB70" s="202">
        <f t="shared" si="7"/>
        <v>0</v>
      </c>
      <c r="AC70" s="104">
        <f>IF(Q70=-$D$35,+(SUM(AB$7:AB69)-SUM(AB71:AB$114))/(Q70+$D$35+0.0001),+(SUM(AB$7:AB69)-SUM(AB71:AB$114))/(Q70+$D$35))</f>
        <v>10676.481414875463</v>
      </c>
      <c r="AD70" s="104">
        <f>IF(ABS(AC70)&lt;Y70,SUM(Y$7:Y69)-AC70-SUM(Y71:Y$114),0)</f>
        <v>0</v>
      </c>
      <c r="AF70" s="21">
        <f t="shared" si="15"/>
        <v>62</v>
      </c>
      <c r="AG70" s="117">
        <f t="shared" si="13"/>
        <v>1.2916666666666667</v>
      </c>
      <c r="AH70" s="115">
        <f>SUM(Y$7:Y69)-SUM(Y70:Y$124)</f>
        <v>15661.614723397628</v>
      </c>
      <c r="AI70" s="115">
        <f>-SUM(Z$7:Z69)+SUM(Z70:Z$124)</f>
        <v>-578253.9036741485</v>
      </c>
      <c r="AJ70" s="115">
        <f t="shared" si="22"/>
        <v>-15661.614723397628</v>
      </c>
      <c r="AK70" s="115">
        <f t="shared" si="23"/>
        <v>578253.9036741485</v>
      </c>
      <c r="AL70" s="104">
        <f t="shared" si="14"/>
        <v>-36.92172958451516</v>
      </c>
    </row>
    <row r="71" spans="16:38" ht="15.75" customHeight="1">
      <c r="P71" s="21">
        <f t="shared" si="11"/>
        <v>65</v>
      </c>
      <c r="Q71" s="21">
        <f t="shared" si="12"/>
        <v>64.5</v>
      </c>
      <c r="R71" s="21">
        <v>1</v>
      </c>
      <c r="S71" s="27">
        <f t="shared" si="4"/>
        <v>0</v>
      </c>
      <c r="T71" s="27">
        <f t="shared" si="5"/>
        <v>0</v>
      </c>
      <c r="U71" s="27">
        <f aca="true" t="shared" si="24" ref="U71:U102">IF(AND(Q71&gt;$D$12,Q71&lt;$D$13),$D$14,0)</f>
        <v>0</v>
      </c>
      <c r="V71" s="27">
        <f aca="true" t="shared" si="25" ref="V71:V102">IF(AND(Q71&gt;$D$15,Q71&lt;$D$16),$D$17,0)</f>
        <v>0</v>
      </c>
      <c r="W71" s="116">
        <f t="shared" si="6"/>
        <v>0</v>
      </c>
      <c r="X71" s="116">
        <f>'Soil Profile'!N101</f>
        <v>42.10187650080655</v>
      </c>
      <c r="Y71" s="104">
        <f aca="true" t="shared" si="26" ref="Y71:Y102">+X71*R71*W71</f>
        <v>0</v>
      </c>
      <c r="Z71" s="206">
        <f aca="true" t="shared" si="27" ref="Z71:Z102">+Y71*Q71</f>
        <v>0</v>
      </c>
      <c r="AA71" s="208"/>
      <c r="AB71" s="202">
        <f t="shared" si="7"/>
        <v>0</v>
      </c>
      <c r="AC71" s="104">
        <f>IF(Q71=-$D$35,+(SUM(AB$7:AB70)-SUM(AB72:AB$114))/(Q71+$D$35+0.0001),+(SUM(AB$7:AB70)-SUM(AB72:AB$114))/(Q71+$D$35))</f>
        <v>10550.13252239173</v>
      </c>
      <c r="AD71" s="104">
        <f>IF(ABS(AC71)&lt;Y71,SUM(Y$7:Y70)-AC71-SUM(Y72:Y$114),0)</f>
        <v>0</v>
      </c>
      <c r="AF71" s="21">
        <f t="shared" si="15"/>
        <v>63</v>
      </c>
      <c r="AG71" s="117">
        <f t="shared" si="13"/>
        <v>1.3125</v>
      </c>
      <c r="AH71" s="115">
        <f>SUM(Y$7:Y70)-SUM(Y71:Y$124)</f>
        <v>15661.614723397628</v>
      </c>
      <c r="AI71" s="115">
        <f>-SUM(Z$7:Z70)+SUM(Z71:Z$124)</f>
        <v>-578253.9036741485</v>
      </c>
      <c r="AJ71" s="115">
        <f t="shared" si="22"/>
        <v>-15661.614723397628</v>
      </c>
      <c r="AK71" s="115">
        <f t="shared" si="23"/>
        <v>578253.9036741485</v>
      </c>
      <c r="AL71" s="104">
        <f t="shared" si="14"/>
        <v>-36.92172958451516</v>
      </c>
    </row>
    <row r="72" spans="16:38" ht="15.75" customHeight="1">
      <c r="P72" s="21">
        <f t="shared" si="11"/>
        <v>66</v>
      </c>
      <c r="Q72" s="21">
        <f t="shared" si="12"/>
        <v>65.5</v>
      </c>
      <c r="R72" s="21">
        <v>1</v>
      </c>
      <c r="S72" s="27">
        <f aca="true" t="shared" si="28" ref="S72:S108">IF(Q72&lt;$D$6,$D$7,0)</f>
        <v>0</v>
      </c>
      <c r="T72" s="27">
        <f aca="true" t="shared" si="29" ref="T72:T108">IF(AND(Q72&gt;$D$6,Q72&lt;($D$8+$D$6)),$D$9,0)</f>
        <v>0</v>
      </c>
      <c r="U72" s="27">
        <f t="shared" si="24"/>
        <v>0</v>
      </c>
      <c r="V72" s="27">
        <f t="shared" si="25"/>
        <v>0</v>
      </c>
      <c r="W72" s="116">
        <f aca="true" t="shared" si="30" ref="W72:W108">MAX(S72:V72)</f>
        <v>0</v>
      </c>
      <c r="X72" s="116">
        <f>'Soil Profile'!N102</f>
        <v>42.47101802720984</v>
      </c>
      <c r="Y72" s="104">
        <f t="shared" si="26"/>
        <v>0</v>
      </c>
      <c r="Z72" s="206">
        <f t="shared" si="27"/>
        <v>0</v>
      </c>
      <c r="AA72" s="208"/>
      <c r="AB72" s="202">
        <f aca="true" t="shared" si="31" ref="AB72:AB114">+Y72*(Q72+$D$35)</f>
        <v>0</v>
      </c>
      <c r="AC72" s="104">
        <f>IF(Q72=-$D$35,+(SUM(AB$7:AB71)-SUM(AB73:AB$114))/(Q72+$D$35+0.0001),+(SUM(AB$7:AB71)-SUM(AB73:AB$114))/(Q72+$D$35))</f>
        <v>10426.739159556739</v>
      </c>
      <c r="AD72" s="104">
        <f>IF(ABS(AC72)&lt;Y72,SUM(Y$7:Y71)-AC72-SUM(Y73:Y$114),0)</f>
        <v>0</v>
      </c>
      <c r="AF72" s="21">
        <f t="shared" si="15"/>
        <v>64</v>
      </c>
      <c r="AG72" s="117">
        <f t="shared" si="13"/>
        <v>1.3333333333333333</v>
      </c>
      <c r="AH72" s="115">
        <f>SUM(Y$7:Y71)-SUM(Y72:Y$124)</f>
        <v>15661.614723397628</v>
      </c>
      <c r="AI72" s="115">
        <f>-SUM(Z$7:Z71)+SUM(Z72:Z$124)</f>
        <v>-578253.9036741485</v>
      </c>
      <c r="AJ72" s="115">
        <f aca="true" t="shared" si="32" ref="AJ72:AJ103">-AH72</f>
        <v>-15661.614723397628</v>
      </c>
      <c r="AK72" s="115">
        <f aca="true" t="shared" si="33" ref="AK72:AK103">-AI72</f>
        <v>578253.9036741485</v>
      </c>
      <c r="AL72" s="104">
        <f t="shared" si="14"/>
        <v>-36.92172958451516</v>
      </c>
    </row>
    <row r="73" spans="16:38" ht="15.75" customHeight="1">
      <c r="P73" s="21">
        <f aca="true" t="shared" si="34" ref="P73:P108">+P72+1</f>
        <v>67</v>
      </c>
      <c r="Q73" s="21">
        <f aca="true" t="shared" si="35" ref="Q73:Q108">+Q72+1</f>
        <v>66.5</v>
      </c>
      <c r="R73" s="21">
        <v>1</v>
      </c>
      <c r="S73" s="27">
        <f t="shared" si="28"/>
        <v>0</v>
      </c>
      <c r="T73" s="27">
        <f t="shared" si="29"/>
        <v>0</v>
      </c>
      <c r="U73" s="27">
        <f t="shared" si="24"/>
        <v>0</v>
      </c>
      <c r="V73" s="27">
        <f t="shared" si="25"/>
        <v>0</v>
      </c>
      <c r="W73" s="116">
        <f t="shared" si="30"/>
        <v>0</v>
      </c>
      <c r="X73" s="116">
        <f>'Soil Profile'!N103</f>
        <v>42.84015955361312</v>
      </c>
      <c r="Y73" s="104">
        <f t="shared" si="26"/>
        <v>0</v>
      </c>
      <c r="Z73" s="206">
        <f t="shared" si="27"/>
        <v>0</v>
      </c>
      <c r="AA73" s="208"/>
      <c r="AB73" s="202">
        <f t="shared" si="31"/>
        <v>0</v>
      </c>
      <c r="AC73" s="104">
        <f>IF(Q73=-$D$35,+(SUM(AB$7:AB72)-SUM(AB74:AB$114))/(Q73+$D$35+0.0001),+(SUM(AB$7:AB72)-SUM(AB74:AB$114))/(Q73+$D$35))</f>
        <v>10306.198822452037</v>
      </c>
      <c r="AD73" s="104">
        <f>IF(ABS(AC73)&lt;Y73,SUM(Y$7:Y72)-AC73-SUM(Y74:Y$114),0)</f>
        <v>0</v>
      </c>
      <c r="AF73" s="21">
        <f t="shared" si="15"/>
        <v>65</v>
      </c>
      <c r="AG73" s="117">
        <f aca="true" t="shared" si="36" ref="AG73:AG115">+AF73/$D$10</f>
        <v>1.3541666666666667</v>
      </c>
      <c r="AH73" s="115">
        <f>SUM(Y$7:Y72)-SUM(Y73:Y$124)</f>
        <v>15661.614723397628</v>
      </c>
      <c r="AI73" s="115">
        <f>-SUM(Z$7:Z72)+SUM(Z73:Z$124)</f>
        <v>-578253.9036741485</v>
      </c>
      <c r="AJ73" s="115">
        <f t="shared" si="32"/>
        <v>-15661.614723397628</v>
      </c>
      <c r="AK73" s="115">
        <f t="shared" si="33"/>
        <v>578253.9036741485</v>
      </c>
      <c r="AL73" s="104">
        <f aca="true" t="shared" si="37" ref="AL73:AL115">+AK73/AJ73</f>
        <v>-36.92172958451516</v>
      </c>
    </row>
    <row r="74" spans="16:38" ht="15.75" customHeight="1">
      <c r="P74" s="21">
        <f t="shared" si="34"/>
        <v>68</v>
      </c>
      <c r="Q74" s="21">
        <f t="shared" si="35"/>
        <v>67.5</v>
      </c>
      <c r="R74" s="21">
        <v>1</v>
      </c>
      <c r="S74" s="27">
        <f t="shared" si="28"/>
        <v>0</v>
      </c>
      <c r="T74" s="27">
        <f t="shared" si="29"/>
        <v>0</v>
      </c>
      <c r="U74" s="27">
        <f t="shared" si="24"/>
        <v>0</v>
      </c>
      <c r="V74" s="27">
        <f t="shared" si="25"/>
        <v>0</v>
      </c>
      <c r="W74" s="116">
        <f t="shared" si="30"/>
        <v>0</v>
      </c>
      <c r="X74" s="116">
        <f>'Soil Profile'!N104</f>
        <v>43.2093010800164</v>
      </c>
      <c r="Y74" s="104">
        <f t="shared" si="26"/>
        <v>0</v>
      </c>
      <c r="Z74" s="206">
        <f t="shared" si="27"/>
        <v>0</v>
      </c>
      <c r="AA74" s="208"/>
      <c r="AB74" s="202">
        <f t="shared" si="31"/>
        <v>0</v>
      </c>
      <c r="AC74" s="104">
        <f>IF(Q74=-$D$35,+(SUM(AB$7:AB73)-SUM(AB75:AB$114))/(Q74+$D$35+0.0001),+(SUM(AB$7:AB73)-SUM(AB75:AB$114))/(Q74+$D$35))</f>
        <v>10188.413693052586</v>
      </c>
      <c r="AD74" s="104">
        <f>IF(ABS(AC74)&lt;Y74,SUM(Y$7:Y73)-AC74-SUM(Y75:Y$114),0)</f>
        <v>0</v>
      </c>
      <c r="AF74" s="21">
        <f aca="true" t="shared" si="38" ref="AF74:AF109">+AF73+1</f>
        <v>66</v>
      </c>
      <c r="AG74" s="117">
        <f t="shared" si="36"/>
        <v>1.375</v>
      </c>
      <c r="AH74" s="115">
        <f>SUM(Y$7:Y73)-SUM(Y74:Y$124)</f>
        <v>15661.614723397628</v>
      </c>
      <c r="AI74" s="115">
        <f>-SUM(Z$7:Z73)+SUM(Z74:Z$124)</f>
        <v>-578253.9036741485</v>
      </c>
      <c r="AJ74" s="115">
        <f t="shared" si="32"/>
        <v>-15661.614723397628</v>
      </c>
      <c r="AK74" s="115">
        <f t="shared" si="33"/>
        <v>578253.9036741485</v>
      </c>
      <c r="AL74" s="104">
        <f t="shared" si="37"/>
        <v>-36.92172958451516</v>
      </c>
    </row>
    <row r="75" spans="16:38" ht="15.75" customHeight="1">
      <c r="P75" s="21">
        <f t="shared" si="34"/>
        <v>69</v>
      </c>
      <c r="Q75" s="21">
        <f t="shared" si="35"/>
        <v>68.5</v>
      </c>
      <c r="R75" s="21">
        <v>1</v>
      </c>
      <c r="S75" s="27">
        <f t="shared" si="28"/>
        <v>0</v>
      </c>
      <c r="T75" s="27">
        <f t="shared" si="29"/>
        <v>0</v>
      </c>
      <c r="U75" s="27">
        <f t="shared" si="24"/>
        <v>0</v>
      </c>
      <c r="V75" s="27">
        <f t="shared" si="25"/>
        <v>0</v>
      </c>
      <c r="W75" s="116">
        <f t="shared" si="30"/>
        <v>0</v>
      </c>
      <c r="X75" s="116">
        <f>'Soil Profile'!N105</f>
        <v>43.578442606419685</v>
      </c>
      <c r="Y75" s="104">
        <f t="shared" si="26"/>
        <v>0</v>
      </c>
      <c r="Z75" s="206">
        <f t="shared" si="27"/>
        <v>0</v>
      </c>
      <c r="AA75" s="208"/>
      <c r="AB75" s="202">
        <f t="shared" si="31"/>
        <v>0</v>
      </c>
      <c r="AC75" s="104">
        <f>IF(Q75=-$D$35,+(SUM(AB$7:AB74)-SUM(AB76:AB$114))/(Q75+$D$35+0.0001),+(SUM(AB$7:AB74)-SUM(AB76:AB$114))/(Q75+$D$35))</f>
        <v>10073.290374487018</v>
      </c>
      <c r="AD75" s="104">
        <f>IF(ABS(AC75)&lt;Y75,SUM(Y$7:Y74)-AC75-SUM(Y76:Y$114),0)</f>
        <v>0</v>
      </c>
      <c r="AF75" s="21">
        <f t="shared" si="38"/>
        <v>67</v>
      </c>
      <c r="AG75" s="117">
        <f t="shared" si="36"/>
        <v>1.3958333333333333</v>
      </c>
      <c r="AH75" s="115">
        <f>SUM(Y$7:Y74)-SUM(Y75:Y$124)</f>
        <v>15661.614723397628</v>
      </c>
      <c r="AI75" s="115">
        <f>-SUM(Z$7:Z74)+SUM(Z75:Z$124)</f>
        <v>-578253.9036741485</v>
      </c>
      <c r="AJ75" s="115">
        <f t="shared" si="32"/>
        <v>-15661.614723397628</v>
      </c>
      <c r="AK75" s="115">
        <f t="shared" si="33"/>
        <v>578253.9036741485</v>
      </c>
      <c r="AL75" s="104">
        <f t="shared" si="37"/>
        <v>-36.92172958451516</v>
      </c>
    </row>
    <row r="76" spans="16:38" ht="15.75" customHeight="1">
      <c r="P76" s="21">
        <f t="shared" si="34"/>
        <v>70</v>
      </c>
      <c r="Q76" s="21">
        <f t="shared" si="35"/>
        <v>69.5</v>
      </c>
      <c r="R76" s="21">
        <v>1</v>
      </c>
      <c r="S76" s="27">
        <f t="shared" si="28"/>
        <v>0</v>
      </c>
      <c r="T76" s="27">
        <f t="shared" si="29"/>
        <v>0</v>
      </c>
      <c r="U76" s="27">
        <f t="shared" si="24"/>
        <v>0</v>
      </c>
      <c r="V76" s="27">
        <f t="shared" si="25"/>
        <v>0</v>
      </c>
      <c r="W76" s="116">
        <f t="shared" si="30"/>
        <v>0</v>
      </c>
      <c r="X76" s="116">
        <f>'Soil Profile'!N106</f>
        <v>43.947584132822975</v>
      </c>
      <c r="Y76" s="104">
        <f t="shared" si="26"/>
        <v>0</v>
      </c>
      <c r="Z76" s="206">
        <f t="shared" si="27"/>
        <v>0</v>
      </c>
      <c r="AA76" s="208"/>
      <c r="AB76" s="202">
        <f t="shared" si="31"/>
        <v>0</v>
      </c>
      <c r="AC76" s="104">
        <f>IF(Q76=-$D$35,+(SUM(AB$7:AB75)-SUM(AB77:AB$114))/(Q76+$D$35+0.0001),+(SUM(AB$7:AB75)-SUM(AB77:AB$114))/(Q76+$D$35))</f>
        <v>9960.739644045823</v>
      </c>
      <c r="AD76" s="104">
        <f>IF(ABS(AC76)&lt;Y76,SUM(Y$7:Y75)-AC76-SUM(Y77:Y$114),0)</f>
        <v>0</v>
      </c>
      <c r="AF76" s="21">
        <f t="shared" si="38"/>
        <v>68</v>
      </c>
      <c r="AG76" s="117">
        <f t="shared" si="36"/>
        <v>1.4166666666666667</v>
      </c>
      <c r="AH76" s="115">
        <f>SUM(Y$7:Y75)-SUM(Y76:Y$124)</f>
        <v>15661.614723397628</v>
      </c>
      <c r="AI76" s="115">
        <f>-SUM(Z$7:Z75)+SUM(Z76:Z$124)</f>
        <v>-578253.9036741485</v>
      </c>
      <c r="AJ76" s="115">
        <f t="shared" si="32"/>
        <v>-15661.614723397628</v>
      </c>
      <c r="AK76" s="115">
        <f t="shared" si="33"/>
        <v>578253.9036741485</v>
      </c>
      <c r="AL76" s="104">
        <f t="shared" si="37"/>
        <v>-36.92172958451516</v>
      </c>
    </row>
    <row r="77" spans="16:38" ht="15.75" customHeight="1">
      <c r="P77" s="21">
        <f t="shared" si="34"/>
        <v>71</v>
      </c>
      <c r="Q77" s="21">
        <f t="shared" si="35"/>
        <v>70.5</v>
      </c>
      <c r="R77" s="21">
        <v>1</v>
      </c>
      <c r="S77" s="27">
        <f t="shared" si="28"/>
        <v>0</v>
      </c>
      <c r="T77" s="27">
        <f t="shared" si="29"/>
        <v>0</v>
      </c>
      <c r="U77" s="27">
        <f t="shared" si="24"/>
        <v>0</v>
      </c>
      <c r="V77" s="27">
        <f t="shared" si="25"/>
        <v>0</v>
      </c>
      <c r="W77" s="116">
        <f t="shared" si="30"/>
        <v>0</v>
      </c>
      <c r="X77" s="116">
        <f>'Soil Profile'!N107</f>
        <v>44.316725659226265</v>
      </c>
      <c r="Y77" s="104">
        <f t="shared" si="26"/>
        <v>0</v>
      </c>
      <c r="Z77" s="206">
        <f t="shared" si="27"/>
        <v>0</v>
      </c>
      <c r="AA77" s="208"/>
      <c r="AB77" s="202">
        <f t="shared" si="31"/>
        <v>0</v>
      </c>
      <c r="AC77" s="104">
        <f>IF(Q77=-$D$35,+(SUM(AB$7:AB76)-SUM(AB78:AB$114))/(Q77+$D$35+0.0001),+(SUM(AB$7:AB76)-SUM(AB78:AB$114))/(Q77+$D$35))</f>
        <v>9850.676222564654</v>
      </c>
      <c r="AD77" s="104">
        <f>IF(ABS(AC77)&lt;Y77,SUM(Y$7:Y76)-AC77-SUM(Y78:Y$114),0)</f>
        <v>0</v>
      </c>
      <c r="AF77" s="21">
        <f t="shared" si="38"/>
        <v>69</v>
      </c>
      <c r="AG77" s="117">
        <f t="shared" si="36"/>
        <v>1.4375</v>
      </c>
      <c r="AH77" s="115">
        <f>SUM(Y$7:Y76)-SUM(Y77:Y$124)</f>
        <v>15661.614723397628</v>
      </c>
      <c r="AI77" s="115">
        <f>-SUM(Z$7:Z76)+SUM(Z77:Z$124)</f>
        <v>-578253.9036741485</v>
      </c>
      <c r="AJ77" s="115">
        <f t="shared" si="32"/>
        <v>-15661.614723397628</v>
      </c>
      <c r="AK77" s="115">
        <f t="shared" si="33"/>
        <v>578253.9036741485</v>
      </c>
      <c r="AL77" s="104">
        <f t="shared" si="37"/>
        <v>-36.92172958451516</v>
      </c>
    </row>
    <row r="78" spans="16:38" ht="15.75" customHeight="1">
      <c r="P78" s="21">
        <f t="shared" si="34"/>
        <v>72</v>
      </c>
      <c r="Q78" s="21">
        <f t="shared" si="35"/>
        <v>71.5</v>
      </c>
      <c r="R78" s="21">
        <v>1</v>
      </c>
      <c r="S78" s="27">
        <f t="shared" si="28"/>
        <v>0</v>
      </c>
      <c r="T78" s="27">
        <f t="shared" si="29"/>
        <v>0</v>
      </c>
      <c r="U78" s="27">
        <f t="shared" si="24"/>
        <v>0</v>
      </c>
      <c r="V78" s="27">
        <f t="shared" si="25"/>
        <v>0</v>
      </c>
      <c r="W78" s="116">
        <f t="shared" si="30"/>
        <v>0</v>
      </c>
      <c r="X78" s="116">
        <f>'Soil Profile'!N108</f>
        <v>44.68586718562954</v>
      </c>
      <c r="Y78" s="104">
        <f t="shared" si="26"/>
        <v>0</v>
      </c>
      <c r="Z78" s="206">
        <f t="shared" si="27"/>
        <v>0</v>
      </c>
      <c r="AA78" s="208"/>
      <c r="AB78" s="202">
        <f t="shared" si="31"/>
        <v>0</v>
      </c>
      <c r="AC78" s="104">
        <f>IF(Q78=-$D$35,+(SUM(AB$7:AB77)-SUM(AB79:AB$114))/(Q78+$D$35+0.0001),+(SUM(AB$7:AB77)-SUM(AB79:AB$114))/(Q78+$D$35))</f>
        <v>9743.018558930067</v>
      </c>
      <c r="AD78" s="104">
        <f>IF(ABS(AC78)&lt;Y78,SUM(Y$7:Y77)-AC78-SUM(Y79:Y$114),0)</f>
        <v>0</v>
      </c>
      <c r="AF78" s="21">
        <f t="shared" si="38"/>
        <v>70</v>
      </c>
      <c r="AG78" s="117">
        <f t="shared" si="36"/>
        <v>1.4583333333333333</v>
      </c>
      <c r="AH78" s="115">
        <f>SUM(Y$7:Y77)-SUM(Y78:Y$124)</f>
        <v>15661.614723397628</v>
      </c>
      <c r="AI78" s="115">
        <f>-SUM(Z$7:Z77)+SUM(Z78:Z$124)</f>
        <v>-578253.9036741485</v>
      </c>
      <c r="AJ78" s="115">
        <f t="shared" si="32"/>
        <v>-15661.614723397628</v>
      </c>
      <c r="AK78" s="115">
        <f t="shared" si="33"/>
        <v>578253.9036741485</v>
      </c>
      <c r="AL78" s="104">
        <f t="shared" si="37"/>
        <v>-36.92172958451516</v>
      </c>
    </row>
    <row r="79" spans="16:38" ht="15.75" customHeight="1">
      <c r="P79" s="21">
        <f t="shared" si="34"/>
        <v>73</v>
      </c>
      <c r="Q79" s="21">
        <f t="shared" si="35"/>
        <v>72.5</v>
      </c>
      <c r="R79" s="21">
        <v>1</v>
      </c>
      <c r="S79" s="27">
        <f t="shared" si="28"/>
        <v>0</v>
      </c>
      <c r="T79" s="27">
        <f t="shared" si="29"/>
        <v>0</v>
      </c>
      <c r="U79" s="27">
        <f t="shared" si="24"/>
        <v>0</v>
      </c>
      <c r="V79" s="27">
        <f t="shared" si="25"/>
        <v>0</v>
      </c>
      <c r="W79" s="116">
        <f t="shared" si="30"/>
        <v>0</v>
      </c>
      <c r="X79" s="116">
        <f>'Soil Profile'!N109</f>
        <v>45.05500871203283</v>
      </c>
      <c r="Y79" s="104">
        <f t="shared" si="26"/>
        <v>0</v>
      </c>
      <c r="Z79" s="206">
        <f t="shared" si="27"/>
        <v>0</v>
      </c>
      <c r="AA79" s="208"/>
      <c r="AB79" s="202">
        <f t="shared" si="31"/>
        <v>0</v>
      </c>
      <c r="AC79" s="104">
        <f>IF(Q79=-$D$35,+(SUM(AB$7:AB78)-SUM(AB80:AB$114))/(Q79+$D$35+0.0001),+(SUM(AB$7:AB78)-SUM(AB80:AB$114))/(Q79+$D$35))</f>
        <v>9637.688628563255</v>
      </c>
      <c r="AD79" s="104">
        <f>IF(ABS(AC79)&lt;Y79,SUM(Y$7:Y78)-AC79-SUM(Y80:Y$114),0)</f>
        <v>0</v>
      </c>
      <c r="AF79" s="21">
        <f t="shared" si="38"/>
        <v>71</v>
      </c>
      <c r="AG79" s="117">
        <f t="shared" si="36"/>
        <v>1.4791666666666667</v>
      </c>
      <c r="AH79" s="115">
        <f>SUM(Y$7:Y78)-SUM(Y79:Y$124)</f>
        <v>15661.614723397628</v>
      </c>
      <c r="AI79" s="115">
        <f>-SUM(Z$7:Z78)+SUM(Z79:Z$124)</f>
        <v>-578253.9036741485</v>
      </c>
      <c r="AJ79" s="115">
        <f t="shared" si="32"/>
        <v>-15661.614723397628</v>
      </c>
      <c r="AK79" s="115">
        <f t="shared" si="33"/>
        <v>578253.9036741485</v>
      </c>
      <c r="AL79" s="104">
        <f t="shared" si="37"/>
        <v>-36.92172958451516</v>
      </c>
    </row>
    <row r="80" spans="16:38" ht="15.75" customHeight="1">
      <c r="P80" s="21">
        <f t="shared" si="34"/>
        <v>74</v>
      </c>
      <c r="Q80" s="21">
        <f t="shared" si="35"/>
        <v>73.5</v>
      </c>
      <c r="R80" s="21">
        <v>1</v>
      </c>
      <c r="S80" s="27">
        <f t="shared" si="28"/>
        <v>0</v>
      </c>
      <c r="T80" s="27">
        <f t="shared" si="29"/>
        <v>0</v>
      </c>
      <c r="U80" s="27">
        <f t="shared" si="24"/>
        <v>0</v>
      </c>
      <c r="V80" s="27">
        <f t="shared" si="25"/>
        <v>0</v>
      </c>
      <c r="W80" s="116">
        <f t="shared" si="30"/>
        <v>0</v>
      </c>
      <c r="X80" s="116">
        <f>'Soil Profile'!N110</f>
        <v>45.42415023843611</v>
      </c>
      <c r="Y80" s="104">
        <f t="shared" si="26"/>
        <v>0</v>
      </c>
      <c r="Z80" s="206">
        <f t="shared" si="27"/>
        <v>0</v>
      </c>
      <c r="AA80" s="208"/>
      <c r="AB80" s="202">
        <f t="shared" si="31"/>
        <v>0</v>
      </c>
      <c r="AC80" s="104">
        <f>IF(Q80=-$D$35,+(SUM(AB$7:AB79)-SUM(AB81:AB$114))/(Q80+$D$35+0.0001),+(SUM(AB$7:AB79)-SUM(AB81:AB$114))/(Q80+$D$35))</f>
        <v>9534.611744835307</v>
      </c>
      <c r="AD80" s="104">
        <f>IF(ABS(AC80)&lt;Y80,SUM(Y$7:Y79)-AC80-SUM(Y81:Y$114),0)</f>
        <v>0</v>
      </c>
      <c r="AF80" s="21">
        <f t="shared" si="38"/>
        <v>72</v>
      </c>
      <c r="AG80" s="117">
        <f t="shared" si="36"/>
        <v>1.5</v>
      </c>
      <c r="AH80" s="115">
        <f>SUM(Y$7:Y79)-SUM(Y80:Y$124)</f>
        <v>15661.614723397628</v>
      </c>
      <c r="AI80" s="115">
        <f>-SUM(Z$7:Z79)+SUM(Z80:Z$124)</f>
        <v>-578253.9036741485</v>
      </c>
      <c r="AJ80" s="115">
        <f t="shared" si="32"/>
        <v>-15661.614723397628</v>
      </c>
      <c r="AK80" s="115">
        <f t="shared" si="33"/>
        <v>578253.9036741485</v>
      </c>
      <c r="AL80" s="104">
        <f t="shared" si="37"/>
        <v>-36.92172958451516</v>
      </c>
    </row>
    <row r="81" spans="16:38" ht="15.75" customHeight="1">
      <c r="P81" s="21">
        <f t="shared" si="34"/>
        <v>75</v>
      </c>
      <c r="Q81" s="21">
        <f t="shared" si="35"/>
        <v>74.5</v>
      </c>
      <c r="R81" s="21">
        <v>1</v>
      </c>
      <c r="S81" s="27">
        <f t="shared" si="28"/>
        <v>0</v>
      </c>
      <c r="T81" s="27">
        <f t="shared" si="29"/>
        <v>0</v>
      </c>
      <c r="U81" s="27">
        <f t="shared" si="24"/>
        <v>0</v>
      </c>
      <c r="V81" s="27">
        <f t="shared" si="25"/>
        <v>0</v>
      </c>
      <c r="W81" s="116">
        <f t="shared" si="30"/>
        <v>0</v>
      </c>
      <c r="X81" s="116">
        <f>'Soil Profile'!N111</f>
        <v>45.793291764839395</v>
      </c>
      <c r="Y81" s="104">
        <f t="shared" si="26"/>
        <v>0</v>
      </c>
      <c r="Z81" s="206">
        <f t="shared" si="27"/>
        <v>0</v>
      </c>
      <c r="AA81" s="208"/>
      <c r="AB81" s="202">
        <f t="shared" si="31"/>
        <v>0</v>
      </c>
      <c r="AC81" s="104">
        <f>IF(Q81=-$D$35,+(SUM(AB$7:AB80)-SUM(AB82:AB$114))/(Q81+$D$35+0.0001),+(SUM(AB$7:AB80)-SUM(AB82:AB$114))/(Q81+$D$35))</f>
        <v>9433.716382456098</v>
      </c>
      <c r="AD81" s="104">
        <f>IF(ABS(AC81)&lt;Y81,SUM(Y$7:Y80)-AC81-SUM(Y82:Y$114),0)</f>
        <v>0</v>
      </c>
      <c r="AF81" s="21">
        <f t="shared" si="38"/>
        <v>73</v>
      </c>
      <c r="AG81" s="117">
        <f t="shared" si="36"/>
        <v>1.5208333333333333</v>
      </c>
      <c r="AH81" s="115">
        <f>SUM(Y$7:Y80)-SUM(Y81:Y$124)</f>
        <v>15661.614723397628</v>
      </c>
      <c r="AI81" s="115">
        <f>-SUM(Z$7:Z80)+SUM(Z81:Z$124)</f>
        <v>-578253.9036741485</v>
      </c>
      <c r="AJ81" s="115">
        <f t="shared" si="32"/>
        <v>-15661.614723397628</v>
      </c>
      <c r="AK81" s="115">
        <f t="shared" si="33"/>
        <v>578253.9036741485</v>
      </c>
      <c r="AL81" s="104">
        <f t="shared" si="37"/>
        <v>-36.92172958451516</v>
      </c>
    </row>
    <row r="82" spans="16:38" ht="15.75" customHeight="1">
      <c r="P82" s="21">
        <f t="shared" si="34"/>
        <v>76</v>
      </c>
      <c r="Q82" s="21">
        <f t="shared" si="35"/>
        <v>75.5</v>
      </c>
      <c r="R82" s="21">
        <v>1</v>
      </c>
      <c r="S82" s="27">
        <f t="shared" si="28"/>
        <v>0</v>
      </c>
      <c r="T82" s="27">
        <f t="shared" si="29"/>
        <v>0</v>
      </c>
      <c r="U82" s="27">
        <f t="shared" si="24"/>
        <v>0</v>
      </c>
      <c r="V82" s="27">
        <f t="shared" si="25"/>
        <v>0</v>
      </c>
      <c r="W82" s="116">
        <f t="shared" si="30"/>
        <v>0</v>
      </c>
      <c r="X82" s="116">
        <f>'Soil Profile'!N112</f>
        <v>46.16243329124268</v>
      </c>
      <c r="Y82" s="104">
        <f t="shared" si="26"/>
        <v>0</v>
      </c>
      <c r="Z82" s="206">
        <f t="shared" si="27"/>
        <v>0</v>
      </c>
      <c r="AA82" s="208"/>
      <c r="AB82" s="202">
        <f t="shared" si="31"/>
        <v>0</v>
      </c>
      <c r="AC82" s="104">
        <f>IF(Q82=-$D$35,+(SUM(AB$7:AB81)-SUM(AB83:AB$114))/(Q82+$D$35+0.0001),+(SUM(AB$7:AB81)-SUM(AB83:AB$114))/(Q82+$D$35))</f>
        <v>9334.934011959174</v>
      </c>
      <c r="AD82" s="104">
        <f>IF(ABS(AC82)&lt;Y82,SUM(Y$7:Y81)-AC82-SUM(Y83:Y$114),0)</f>
        <v>0</v>
      </c>
      <c r="AF82" s="21">
        <f t="shared" si="38"/>
        <v>74</v>
      </c>
      <c r="AG82" s="117">
        <f t="shared" si="36"/>
        <v>1.5416666666666667</v>
      </c>
      <c r="AH82" s="115">
        <f>SUM(Y$7:Y81)-SUM(Y82:Y$124)</f>
        <v>15661.614723397628</v>
      </c>
      <c r="AI82" s="115">
        <f>-SUM(Z$7:Z81)+SUM(Z82:Z$124)</f>
        <v>-578253.9036741485</v>
      </c>
      <c r="AJ82" s="115">
        <f t="shared" si="32"/>
        <v>-15661.614723397628</v>
      </c>
      <c r="AK82" s="115">
        <f t="shared" si="33"/>
        <v>578253.9036741485</v>
      </c>
      <c r="AL82" s="104">
        <f t="shared" si="37"/>
        <v>-36.92172958451516</v>
      </c>
    </row>
    <row r="83" spans="16:38" ht="15.75" customHeight="1">
      <c r="P83" s="21">
        <f t="shared" si="34"/>
        <v>77</v>
      </c>
      <c r="Q83" s="21">
        <f t="shared" si="35"/>
        <v>76.5</v>
      </c>
      <c r="R83" s="21">
        <v>1</v>
      </c>
      <c r="S83" s="27">
        <f t="shared" si="28"/>
        <v>0</v>
      </c>
      <c r="T83" s="27">
        <f t="shared" si="29"/>
        <v>0</v>
      </c>
      <c r="U83" s="27">
        <f t="shared" si="24"/>
        <v>0</v>
      </c>
      <c r="V83" s="27">
        <f t="shared" si="25"/>
        <v>0</v>
      </c>
      <c r="W83" s="116">
        <f t="shared" si="30"/>
        <v>0</v>
      </c>
      <c r="X83" s="116">
        <f>'Soil Profile'!N113</f>
        <v>46.53157481764596</v>
      </c>
      <c r="Y83" s="104">
        <f t="shared" si="26"/>
        <v>0</v>
      </c>
      <c r="Z83" s="206">
        <f t="shared" si="27"/>
        <v>0</v>
      </c>
      <c r="AA83" s="208"/>
      <c r="AB83" s="202">
        <f t="shared" si="31"/>
        <v>0</v>
      </c>
      <c r="AC83" s="104">
        <f>IF(Q83=-$D$35,+(SUM(AB$7:AB82)-SUM(AB84:AB$114))/(Q83+$D$35+0.0001),+(SUM(AB$7:AB82)-SUM(AB84:AB$114))/(Q83+$D$35))</f>
        <v>9238.198944477732</v>
      </c>
      <c r="AD83" s="104">
        <f>IF(ABS(AC83)&lt;Y83,SUM(Y$7:Y82)-AC83-SUM(Y84:Y$114),0)</f>
        <v>0</v>
      </c>
      <c r="AF83" s="21">
        <f t="shared" si="38"/>
        <v>75</v>
      </c>
      <c r="AG83" s="117">
        <f t="shared" si="36"/>
        <v>1.5625</v>
      </c>
      <c r="AH83" s="115">
        <f>SUM(Y$7:Y82)-SUM(Y83:Y$124)</f>
        <v>15661.614723397628</v>
      </c>
      <c r="AI83" s="115">
        <f>-SUM(Z$7:Z82)+SUM(Z83:Z$124)</f>
        <v>-578253.9036741485</v>
      </c>
      <c r="AJ83" s="115">
        <f t="shared" si="32"/>
        <v>-15661.614723397628</v>
      </c>
      <c r="AK83" s="115">
        <f t="shared" si="33"/>
        <v>578253.9036741485</v>
      </c>
      <c r="AL83" s="104">
        <f t="shared" si="37"/>
        <v>-36.92172958451516</v>
      </c>
    </row>
    <row r="84" spans="16:38" ht="15.75" customHeight="1">
      <c r="P84" s="21">
        <f t="shared" si="34"/>
        <v>78</v>
      </c>
      <c r="Q84" s="21">
        <f t="shared" si="35"/>
        <v>77.5</v>
      </c>
      <c r="R84" s="21">
        <v>1</v>
      </c>
      <c r="S84" s="27">
        <f t="shared" si="28"/>
        <v>0</v>
      </c>
      <c r="T84" s="27">
        <f t="shared" si="29"/>
        <v>0</v>
      </c>
      <c r="U84" s="27">
        <f t="shared" si="24"/>
        <v>0</v>
      </c>
      <c r="V84" s="27">
        <f t="shared" si="25"/>
        <v>0</v>
      </c>
      <c r="W84" s="116">
        <f t="shared" si="30"/>
        <v>0</v>
      </c>
      <c r="X84" s="116">
        <f>'Soil Profile'!N114</f>
        <v>46.90071634404925</v>
      </c>
      <c r="Y84" s="104">
        <f t="shared" si="26"/>
        <v>0</v>
      </c>
      <c r="Z84" s="206">
        <f t="shared" si="27"/>
        <v>0</v>
      </c>
      <c r="AA84" s="208"/>
      <c r="AB84" s="202">
        <f t="shared" si="31"/>
        <v>0</v>
      </c>
      <c r="AC84" s="104">
        <f>IF(Q84=-$D$35,+(SUM(AB$7:AB83)-SUM(AB85:AB$114))/(Q84+$D$35+0.0001),+(SUM(AB$7:AB83)-SUM(AB85:AB$114))/(Q84+$D$35))</f>
        <v>9143.448186072832</v>
      </c>
      <c r="AD84" s="104">
        <f>IF(ABS(AC84)&lt;Y84,SUM(Y$7:Y83)-AC84-SUM(Y85:Y$114),0)</f>
        <v>0</v>
      </c>
      <c r="AF84" s="21">
        <f t="shared" si="38"/>
        <v>76</v>
      </c>
      <c r="AG84" s="117">
        <f t="shared" si="36"/>
        <v>1.5833333333333333</v>
      </c>
      <c r="AH84" s="115">
        <f>SUM(Y$7:Y83)-SUM(Y84:Y$124)</f>
        <v>15661.614723397628</v>
      </c>
      <c r="AI84" s="115">
        <f>-SUM(Z$7:Z83)+SUM(Z84:Z$124)</f>
        <v>-578253.9036741485</v>
      </c>
      <c r="AJ84" s="115">
        <f t="shared" si="32"/>
        <v>-15661.614723397628</v>
      </c>
      <c r="AK84" s="115">
        <f t="shared" si="33"/>
        <v>578253.9036741485</v>
      </c>
      <c r="AL84" s="104">
        <f t="shared" si="37"/>
        <v>-36.92172958451516</v>
      </c>
    </row>
    <row r="85" spans="16:38" ht="15.75" customHeight="1">
      <c r="P85" s="21">
        <f t="shared" si="34"/>
        <v>79</v>
      </c>
      <c r="Q85" s="21">
        <f t="shared" si="35"/>
        <v>78.5</v>
      </c>
      <c r="R85" s="21">
        <v>1</v>
      </c>
      <c r="S85" s="27">
        <f t="shared" si="28"/>
        <v>0</v>
      </c>
      <c r="T85" s="27">
        <f t="shared" si="29"/>
        <v>0</v>
      </c>
      <c r="U85" s="27">
        <f t="shared" si="24"/>
        <v>0</v>
      </c>
      <c r="V85" s="27">
        <f t="shared" si="25"/>
        <v>0</v>
      </c>
      <c r="W85" s="116">
        <f t="shared" si="30"/>
        <v>0</v>
      </c>
      <c r="X85" s="116">
        <f>'Soil Profile'!N115</f>
        <v>47.26985787045253</v>
      </c>
      <c r="Y85" s="104">
        <f t="shared" si="26"/>
        <v>0</v>
      </c>
      <c r="Z85" s="206">
        <f t="shared" si="27"/>
        <v>0</v>
      </c>
      <c r="AA85" s="208"/>
      <c r="AB85" s="202">
        <f t="shared" si="31"/>
        <v>0</v>
      </c>
      <c r="AC85" s="104">
        <f>IF(Q85=-$D$35,+(SUM(AB$7:AB84)-SUM(AB86:AB$114))/(Q85+$D$35+0.0001),+(SUM(AB$7:AB84)-SUM(AB86:AB$114))/(Q85+$D$35))</f>
        <v>9050.621300935038</v>
      </c>
      <c r="AD85" s="104">
        <f>IF(ABS(AC85)&lt;Y85,SUM(Y$7:Y84)-AC85-SUM(Y86:Y$114),0)</f>
        <v>0</v>
      </c>
      <c r="AF85" s="21">
        <f t="shared" si="38"/>
        <v>77</v>
      </c>
      <c r="AG85" s="117">
        <f t="shared" si="36"/>
        <v>1.6041666666666667</v>
      </c>
      <c r="AH85" s="115">
        <f>SUM(Y$7:Y84)-SUM(Y85:Y$124)</f>
        <v>15661.614723397628</v>
      </c>
      <c r="AI85" s="115">
        <f>-SUM(Z$7:Z84)+SUM(Z85:Z$124)</f>
        <v>-578253.9036741485</v>
      </c>
      <c r="AJ85" s="115">
        <f t="shared" si="32"/>
        <v>-15661.614723397628</v>
      </c>
      <c r="AK85" s="115">
        <f t="shared" si="33"/>
        <v>578253.9036741485</v>
      </c>
      <c r="AL85" s="104">
        <f t="shared" si="37"/>
        <v>-36.92172958451516</v>
      </c>
    </row>
    <row r="86" spans="16:38" ht="15.75" customHeight="1">
      <c r="P86" s="21">
        <f t="shared" si="34"/>
        <v>80</v>
      </c>
      <c r="Q86" s="21">
        <f t="shared" si="35"/>
        <v>79.5</v>
      </c>
      <c r="R86" s="21">
        <v>1</v>
      </c>
      <c r="S86" s="27">
        <f t="shared" si="28"/>
        <v>0</v>
      </c>
      <c r="T86" s="27">
        <f t="shared" si="29"/>
        <v>0</v>
      </c>
      <c r="U86" s="27">
        <f t="shared" si="24"/>
        <v>0</v>
      </c>
      <c r="V86" s="27">
        <f t="shared" si="25"/>
        <v>0</v>
      </c>
      <c r="W86" s="116">
        <f t="shared" si="30"/>
        <v>0</v>
      </c>
      <c r="X86" s="116">
        <f>'Soil Profile'!N116</f>
        <v>47.638999396855816</v>
      </c>
      <c r="Y86" s="104">
        <f t="shared" si="26"/>
        <v>0</v>
      </c>
      <c r="Z86" s="206">
        <f t="shared" si="27"/>
        <v>0</v>
      </c>
      <c r="AA86" s="208"/>
      <c r="AB86" s="202">
        <f t="shared" si="31"/>
        <v>0</v>
      </c>
      <c r="AC86" s="104">
        <f>IF(Q86=-$D$35,+(SUM(AB$7:AB85)-SUM(AB87:AB$114))/(Q86+$D$35+0.0001),+(SUM(AB$7:AB85)-SUM(AB87:AB$114))/(Q86+$D$35))</f>
        <v>8959.660282835188</v>
      </c>
      <c r="AD86" s="104">
        <f>IF(ABS(AC86)&lt;Y86,SUM(Y$7:Y85)-AC86-SUM(Y87:Y$114),0)</f>
        <v>0</v>
      </c>
      <c r="AF86" s="21">
        <f t="shared" si="38"/>
        <v>78</v>
      </c>
      <c r="AG86" s="117">
        <f t="shared" si="36"/>
        <v>1.625</v>
      </c>
      <c r="AH86" s="115">
        <f>SUM(Y$7:Y85)-SUM(Y86:Y$124)</f>
        <v>15661.614723397628</v>
      </c>
      <c r="AI86" s="115">
        <f>-SUM(Z$7:Z85)+SUM(Z86:Z$124)</f>
        <v>-578253.9036741485</v>
      </c>
      <c r="AJ86" s="115">
        <f t="shared" si="32"/>
        <v>-15661.614723397628</v>
      </c>
      <c r="AK86" s="115">
        <f t="shared" si="33"/>
        <v>578253.9036741485</v>
      </c>
      <c r="AL86" s="104">
        <f t="shared" si="37"/>
        <v>-36.92172958451516</v>
      </c>
    </row>
    <row r="87" spans="16:38" ht="15.75" customHeight="1">
      <c r="P87" s="21">
        <f t="shared" si="34"/>
        <v>81</v>
      </c>
      <c r="Q87" s="21">
        <f t="shared" si="35"/>
        <v>80.5</v>
      </c>
      <c r="R87" s="21">
        <v>1</v>
      </c>
      <c r="S87" s="27">
        <f t="shared" si="28"/>
        <v>0</v>
      </c>
      <c r="T87" s="27">
        <f t="shared" si="29"/>
        <v>0</v>
      </c>
      <c r="U87" s="27">
        <f t="shared" si="24"/>
        <v>0</v>
      </c>
      <c r="V87" s="27">
        <f t="shared" si="25"/>
        <v>0</v>
      </c>
      <c r="W87" s="116">
        <f t="shared" si="30"/>
        <v>0</v>
      </c>
      <c r="X87" s="116">
        <f>'Soil Profile'!N117</f>
        <v>48.008140923259106</v>
      </c>
      <c r="Y87" s="104">
        <f t="shared" si="26"/>
        <v>0</v>
      </c>
      <c r="Z87" s="206">
        <f t="shared" si="27"/>
        <v>0</v>
      </c>
      <c r="AA87" s="208"/>
      <c r="AB87" s="202">
        <f t="shared" si="31"/>
        <v>0</v>
      </c>
      <c r="AC87" s="104">
        <f>IF(Q87=-$D$35,+(SUM(AB$7:AB86)-SUM(AB88:AB$114))/(Q87+$D$35+0.0001),+(SUM(AB$7:AB86)-SUM(AB88:AB$114))/(Q87+$D$35))</f>
        <v>8870.509434249763</v>
      </c>
      <c r="AD87" s="104">
        <f>IF(ABS(AC87)&lt;Y87,SUM(Y$7:Y86)-AC87-SUM(Y88:Y$114),0)</f>
        <v>0</v>
      </c>
      <c r="AF87" s="21">
        <f t="shared" si="38"/>
        <v>79</v>
      </c>
      <c r="AG87" s="117">
        <f t="shared" si="36"/>
        <v>1.6458333333333333</v>
      </c>
      <c r="AH87" s="115">
        <f>SUM(Y$7:Y86)-SUM(Y87:Y$124)</f>
        <v>15661.614723397628</v>
      </c>
      <c r="AI87" s="115">
        <f>-SUM(Z$7:Z86)+SUM(Z87:Z$124)</f>
        <v>-578253.9036741485</v>
      </c>
      <c r="AJ87" s="115">
        <f t="shared" si="32"/>
        <v>-15661.614723397628</v>
      </c>
      <c r="AK87" s="115">
        <f t="shared" si="33"/>
        <v>578253.9036741485</v>
      </c>
      <c r="AL87" s="104">
        <f t="shared" si="37"/>
        <v>-36.92172958451516</v>
      </c>
    </row>
    <row r="88" spans="16:38" ht="15.75" customHeight="1">
      <c r="P88" s="21">
        <f t="shared" si="34"/>
        <v>82</v>
      </c>
      <c r="Q88" s="21">
        <f t="shared" si="35"/>
        <v>81.5</v>
      </c>
      <c r="R88" s="21">
        <v>1</v>
      </c>
      <c r="S88" s="27">
        <f t="shared" si="28"/>
        <v>0</v>
      </c>
      <c r="T88" s="27">
        <f t="shared" si="29"/>
        <v>0</v>
      </c>
      <c r="U88" s="27">
        <f t="shared" si="24"/>
        <v>0</v>
      </c>
      <c r="V88" s="27">
        <f t="shared" si="25"/>
        <v>0</v>
      </c>
      <c r="W88" s="116">
        <f t="shared" si="30"/>
        <v>0</v>
      </c>
      <c r="X88" s="116">
        <f>'Soil Profile'!N118</f>
        <v>13.005550000000031</v>
      </c>
      <c r="Y88" s="104">
        <f t="shared" si="26"/>
        <v>0</v>
      </c>
      <c r="Z88" s="206">
        <f t="shared" si="27"/>
        <v>0</v>
      </c>
      <c r="AA88" s="208"/>
      <c r="AB88" s="202">
        <f t="shared" si="31"/>
        <v>0</v>
      </c>
      <c r="AC88" s="104">
        <f>IF(Q88=-$D$35,+(SUM(AB$7:AB87)-SUM(AB89:AB$114))/(Q88+$D$35+0.0001),+(SUM(AB$7:AB87)-SUM(AB89:AB$114))/(Q88+$D$35))</f>
        <v>8783.115252631538</v>
      </c>
      <c r="AD88" s="104">
        <f>IF(ABS(AC88)&lt;Y88,SUM(Y$7:Y87)-AC88-SUM(Y89:Y$114),0)</f>
        <v>0</v>
      </c>
      <c r="AF88" s="21">
        <f t="shared" si="38"/>
        <v>80</v>
      </c>
      <c r="AG88" s="117">
        <f t="shared" si="36"/>
        <v>1.6666666666666667</v>
      </c>
      <c r="AH88" s="115">
        <f>SUM(Y$7:Y87)-SUM(Y88:Y$124)</f>
        <v>15661.614723397628</v>
      </c>
      <c r="AI88" s="115">
        <f>-SUM(Z$7:Z87)+SUM(Z88:Z$124)</f>
        <v>-578253.9036741485</v>
      </c>
      <c r="AJ88" s="115">
        <f t="shared" si="32"/>
        <v>-15661.614723397628</v>
      </c>
      <c r="AK88" s="115">
        <f t="shared" si="33"/>
        <v>578253.9036741485</v>
      </c>
      <c r="AL88" s="104">
        <f t="shared" si="37"/>
        <v>-36.92172958451516</v>
      </c>
    </row>
    <row r="89" spans="16:38" ht="15.75" customHeight="1">
      <c r="P89" s="21">
        <f t="shared" si="34"/>
        <v>83</v>
      </c>
      <c r="Q89" s="21">
        <f t="shared" si="35"/>
        <v>82.5</v>
      </c>
      <c r="R89" s="21">
        <v>1</v>
      </c>
      <c r="S89" s="27">
        <f t="shared" si="28"/>
        <v>0</v>
      </c>
      <c r="T89" s="27">
        <f t="shared" si="29"/>
        <v>0</v>
      </c>
      <c r="U89" s="27">
        <f t="shared" si="24"/>
        <v>0</v>
      </c>
      <c r="V89" s="27">
        <f t="shared" si="25"/>
        <v>0</v>
      </c>
      <c r="W89" s="116">
        <f t="shared" si="30"/>
        <v>0</v>
      </c>
      <c r="X89" s="116">
        <f>'Soil Profile'!N119</f>
        <v>12.897250000000032</v>
      </c>
      <c r="Y89" s="104">
        <f t="shared" si="26"/>
        <v>0</v>
      </c>
      <c r="Z89" s="206">
        <f t="shared" si="27"/>
        <v>0</v>
      </c>
      <c r="AA89" s="208"/>
      <c r="AB89" s="202">
        <f t="shared" si="31"/>
        <v>0</v>
      </c>
      <c r="AC89" s="104">
        <f>IF(Q89=-$D$35,+(SUM(AB$7:AB88)-SUM(AB90:AB$114))/(Q89+$D$35+0.0001),+(SUM(AB$7:AB88)-SUM(AB90:AB$114))/(Q89+$D$35))</f>
        <v>8697.426323337573</v>
      </c>
      <c r="AD89" s="104">
        <f>IF(ABS(AC89)&lt;Y89,SUM(Y$7:Y88)-AC89-SUM(Y90:Y$114),0)</f>
        <v>0</v>
      </c>
      <c r="AF89" s="21">
        <f t="shared" si="38"/>
        <v>81</v>
      </c>
      <c r="AG89" s="117">
        <f t="shared" si="36"/>
        <v>1.6875</v>
      </c>
      <c r="AH89" s="115">
        <f>SUM(Y$7:Y88)-SUM(Y89:Y$124)</f>
        <v>15661.614723397628</v>
      </c>
      <c r="AI89" s="115">
        <f>-SUM(Z$7:Z88)+SUM(Z89:Z$124)</f>
        <v>-578253.9036741485</v>
      </c>
      <c r="AJ89" s="115">
        <f t="shared" si="32"/>
        <v>-15661.614723397628</v>
      </c>
      <c r="AK89" s="115">
        <f t="shared" si="33"/>
        <v>578253.9036741485</v>
      </c>
      <c r="AL89" s="104">
        <f t="shared" si="37"/>
        <v>-36.92172958451516</v>
      </c>
    </row>
    <row r="90" spans="16:38" ht="15.75" customHeight="1">
      <c r="P90" s="21">
        <f t="shared" si="34"/>
        <v>84</v>
      </c>
      <c r="Q90" s="21">
        <f t="shared" si="35"/>
        <v>83.5</v>
      </c>
      <c r="R90" s="21">
        <v>1</v>
      </c>
      <c r="S90" s="27">
        <f t="shared" si="28"/>
        <v>0</v>
      </c>
      <c r="T90" s="27">
        <f t="shared" si="29"/>
        <v>0</v>
      </c>
      <c r="U90" s="27">
        <f t="shared" si="24"/>
        <v>0</v>
      </c>
      <c r="V90" s="27">
        <f t="shared" si="25"/>
        <v>0</v>
      </c>
      <c r="W90" s="116">
        <f t="shared" si="30"/>
        <v>0</v>
      </c>
      <c r="X90" s="116">
        <f>'Soil Profile'!N120</f>
        <v>12.78895000000003</v>
      </c>
      <c r="Y90" s="104">
        <f t="shared" si="26"/>
        <v>0</v>
      </c>
      <c r="Z90" s="206">
        <f t="shared" si="27"/>
        <v>0</v>
      </c>
      <c r="AA90" s="208"/>
      <c r="AB90" s="202">
        <f t="shared" si="31"/>
        <v>0</v>
      </c>
      <c r="AC90" s="104">
        <f>IF(Q90=-$D$35,+(SUM(AB$7:AB89)-SUM(AB91:AB$114))/(Q90+$D$35+0.0001),+(SUM(AB$7:AB89)-SUM(AB91:AB$114))/(Q90+$D$35))</f>
        <v>8613.393218764262</v>
      </c>
      <c r="AD90" s="104">
        <f>IF(ABS(AC90)&lt;Y90,SUM(Y$7:Y89)-AC90-SUM(Y91:Y$114),0)</f>
        <v>0</v>
      </c>
      <c r="AF90" s="21">
        <f t="shared" si="38"/>
        <v>82</v>
      </c>
      <c r="AG90" s="117">
        <f t="shared" si="36"/>
        <v>1.7083333333333333</v>
      </c>
      <c r="AH90" s="115">
        <f>SUM(Y$7:Y89)-SUM(Y90:Y$124)</f>
        <v>15661.614723397628</v>
      </c>
      <c r="AI90" s="115">
        <f>-SUM(Z$7:Z89)+SUM(Z90:Z$124)</f>
        <v>-578253.9036741485</v>
      </c>
      <c r="AJ90" s="115">
        <f t="shared" si="32"/>
        <v>-15661.614723397628</v>
      </c>
      <c r="AK90" s="115">
        <f t="shared" si="33"/>
        <v>578253.9036741485</v>
      </c>
      <c r="AL90" s="104">
        <f t="shared" si="37"/>
        <v>-36.92172958451516</v>
      </c>
    </row>
    <row r="91" spans="16:38" ht="15.75" customHeight="1">
      <c r="P91" s="21">
        <f t="shared" si="34"/>
        <v>85</v>
      </c>
      <c r="Q91" s="21">
        <f t="shared" si="35"/>
        <v>84.5</v>
      </c>
      <c r="R91" s="21">
        <v>1</v>
      </c>
      <c r="S91" s="27">
        <f t="shared" si="28"/>
        <v>0</v>
      </c>
      <c r="T91" s="27">
        <f t="shared" si="29"/>
        <v>0</v>
      </c>
      <c r="U91" s="27">
        <f t="shared" si="24"/>
        <v>0</v>
      </c>
      <c r="V91" s="27">
        <f t="shared" si="25"/>
        <v>0</v>
      </c>
      <c r="W91" s="116">
        <f t="shared" si="30"/>
        <v>0</v>
      </c>
      <c r="X91" s="116">
        <f>'Soil Profile'!N121</f>
        <v>12.680650000000032</v>
      </c>
      <c r="Y91" s="104">
        <f t="shared" si="26"/>
        <v>0</v>
      </c>
      <c r="Z91" s="206">
        <f t="shared" si="27"/>
        <v>0</v>
      </c>
      <c r="AA91" s="208"/>
      <c r="AB91" s="202">
        <f t="shared" si="31"/>
        <v>0</v>
      </c>
      <c r="AC91" s="104">
        <f>IF(Q91=-$D$35,+(SUM(AB$7:AB90)-SUM(AB92:AB$114))/(Q91+$D$35+0.0001),+(SUM(AB$7:AB90)-SUM(AB92:AB$114))/(Q91+$D$35))</f>
        <v>8530.968403273695</v>
      </c>
      <c r="AD91" s="104">
        <f>IF(ABS(AC91)&lt;Y91,SUM(Y$7:Y90)-AC91-SUM(Y92:Y$114),0)</f>
        <v>0</v>
      </c>
      <c r="AF91" s="21">
        <f t="shared" si="38"/>
        <v>83</v>
      </c>
      <c r="AG91" s="117">
        <f t="shared" si="36"/>
        <v>1.7291666666666667</v>
      </c>
      <c r="AH91" s="115">
        <f>SUM(Y$7:Y90)-SUM(Y91:Y$124)</f>
        <v>15661.614723397628</v>
      </c>
      <c r="AI91" s="115">
        <f>-SUM(Z$7:Z90)+SUM(Z91:Z$124)</f>
        <v>-578253.9036741485</v>
      </c>
      <c r="AJ91" s="115">
        <f t="shared" si="32"/>
        <v>-15661.614723397628</v>
      </c>
      <c r="AK91" s="115">
        <f t="shared" si="33"/>
        <v>578253.9036741485</v>
      </c>
      <c r="AL91" s="104">
        <f t="shared" si="37"/>
        <v>-36.92172958451516</v>
      </c>
    </row>
    <row r="92" spans="16:38" ht="15.75" customHeight="1">
      <c r="P92" s="21">
        <f t="shared" si="34"/>
        <v>86</v>
      </c>
      <c r="Q92" s="21">
        <f t="shared" si="35"/>
        <v>85.5</v>
      </c>
      <c r="R92" s="21">
        <v>1</v>
      </c>
      <c r="S92" s="27">
        <f t="shared" si="28"/>
        <v>0</v>
      </c>
      <c r="T92" s="27">
        <f t="shared" si="29"/>
        <v>0</v>
      </c>
      <c r="U92" s="27">
        <f t="shared" si="24"/>
        <v>0</v>
      </c>
      <c r="V92" s="27">
        <f t="shared" si="25"/>
        <v>0</v>
      </c>
      <c r="W92" s="116">
        <f t="shared" si="30"/>
        <v>0</v>
      </c>
      <c r="X92" s="116">
        <f>'Soil Profile'!N122</f>
        <v>12.572350000000032</v>
      </c>
      <c r="Y92" s="104">
        <f t="shared" si="26"/>
        <v>0</v>
      </c>
      <c r="Z92" s="206">
        <f t="shared" si="27"/>
        <v>0</v>
      </c>
      <c r="AA92" s="208"/>
      <c r="AB92" s="202">
        <f t="shared" si="31"/>
        <v>0</v>
      </c>
      <c r="AC92" s="104">
        <f>IF(Q92=-$D$35,+(SUM(AB$7:AB91)-SUM(AB93:AB$114))/(Q92+$D$35+0.0001),+(SUM(AB$7:AB91)-SUM(AB93:AB$114))/(Q92+$D$35))</f>
        <v>8450.106143527026</v>
      </c>
      <c r="AD92" s="104">
        <f>IF(ABS(AC92)&lt;Y92,SUM(Y$7:Y91)-AC92-SUM(Y93:Y$114),0)</f>
        <v>0</v>
      </c>
      <c r="AF92" s="21">
        <f t="shared" si="38"/>
        <v>84</v>
      </c>
      <c r="AG92" s="117">
        <f t="shared" si="36"/>
        <v>1.75</v>
      </c>
      <c r="AH92" s="115">
        <f>SUM(Y$7:Y91)-SUM(Y92:Y$124)</f>
        <v>15661.614723397628</v>
      </c>
      <c r="AI92" s="115">
        <f>-SUM(Z$7:Z91)+SUM(Z92:Z$124)</f>
        <v>-578253.9036741485</v>
      </c>
      <c r="AJ92" s="115">
        <f t="shared" si="32"/>
        <v>-15661.614723397628</v>
      </c>
      <c r="AK92" s="115">
        <f t="shared" si="33"/>
        <v>578253.9036741485</v>
      </c>
      <c r="AL92" s="104">
        <f t="shared" si="37"/>
        <v>-36.92172958451516</v>
      </c>
    </row>
    <row r="93" spans="16:38" ht="15.75" customHeight="1">
      <c r="P93" s="21">
        <f t="shared" si="34"/>
        <v>87</v>
      </c>
      <c r="Q93" s="21">
        <f t="shared" si="35"/>
        <v>86.5</v>
      </c>
      <c r="R93" s="21">
        <v>1</v>
      </c>
      <c r="S93" s="27">
        <f t="shared" si="28"/>
        <v>0</v>
      </c>
      <c r="T93" s="27">
        <f t="shared" si="29"/>
        <v>0</v>
      </c>
      <c r="U93" s="27">
        <f t="shared" si="24"/>
        <v>0</v>
      </c>
      <c r="V93" s="27">
        <f t="shared" si="25"/>
        <v>0</v>
      </c>
      <c r="W93" s="116">
        <f t="shared" si="30"/>
        <v>0</v>
      </c>
      <c r="X93" s="116">
        <f>'Soil Profile'!N123</f>
        <v>12.46405000000003</v>
      </c>
      <c r="Y93" s="104">
        <f t="shared" si="26"/>
        <v>0</v>
      </c>
      <c r="Z93" s="206">
        <f t="shared" si="27"/>
        <v>0</v>
      </c>
      <c r="AA93" s="208"/>
      <c r="AB93" s="202">
        <f t="shared" si="31"/>
        <v>0</v>
      </c>
      <c r="AC93" s="104">
        <f>IF(Q93=-$D$35,+(SUM(AB$7:AB92)-SUM(AB94:AB$114))/(Q93+$D$35+0.0001),+(SUM(AB$7:AB92)-SUM(AB94:AB$114))/(Q93+$D$35))</f>
        <v>8370.762423869495</v>
      </c>
      <c r="AD93" s="104">
        <f>IF(ABS(AC93)&lt;Y93,SUM(Y$7:Y92)-AC93-SUM(Y94:Y$114),0)</f>
        <v>0</v>
      </c>
      <c r="AF93" s="21">
        <f t="shared" si="38"/>
        <v>85</v>
      </c>
      <c r="AG93" s="117">
        <f t="shared" si="36"/>
        <v>1.7708333333333333</v>
      </c>
      <c r="AH93" s="115">
        <f>SUM(Y$7:Y92)-SUM(Y93:Y$124)</f>
        <v>15661.614723397628</v>
      </c>
      <c r="AI93" s="115">
        <f>-SUM(Z$7:Z92)+SUM(Z93:Z$124)</f>
        <v>-578253.9036741485</v>
      </c>
      <c r="AJ93" s="115">
        <f t="shared" si="32"/>
        <v>-15661.614723397628</v>
      </c>
      <c r="AK93" s="115">
        <f t="shared" si="33"/>
        <v>578253.9036741485</v>
      </c>
      <c r="AL93" s="104">
        <f t="shared" si="37"/>
        <v>-36.92172958451516</v>
      </c>
    </row>
    <row r="94" spans="16:38" ht="15.75" customHeight="1">
      <c r="P94" s="21">
        <f t="shared" si="34"/>
        <v>88</v>
      </c>
      <c r="Q94" s="21">
        <f t="shared" si="35"/>
        <v>87.5</v>
      </c>
      <c r="R94" s="21">
        <v>1</v>
      </c>
      <c r="S94" s="27">
        <f t="shared" si="28"/>
        <v>0</v>
      </c>
      <c r="T94" s="27">
        <f t="shared" si="29"/>
        <v>0</v>
      </c>
      <c r="U94" s="27">
        <f t="shared" si="24"/>
        <v>0</v>
      </c>
      <c r="V94" s="27">
        <f t="shared" si="25"/>
        <v>0</v>
      </c>
      <c r="W94" s="116">
        <f t="shared" si="30"/>
        <v>0</v>
      </c>
      <c r="X94" s="116">
        <f>'Soil Profile'!N124</f>
        <v>12.355750000000032</v>
      </c>
      <c r="Y94" s="104">
        <f t="shared" si="26"/>
        <v>0</v>
      </c>
      <c r="Z94" s="206">
        <f t="shared" si="27"/>
        <v>0</v>
      </c>
      <c r="AA94" s="208"/>
      <c r="AB94" s="202">
        <f t="shared" si="31"/>
        <v>0</v>
      </c>
      <c r="AC94" s="104">
        <f>IF(Q94=-$D$35,+(SUM(AB$7:AB93)-SUM(AB95:AB$114))/(Q94+$D$35+0.0001),+(SUM(AB$7:AB93)-SUM(AB95:AB$114))/(Q94+$D$35))</f>
        <v>8292.89486643815</v>
      </c>
      <c r="AD94" s="104">
        <f>IF(ABS(AC94)&lt;Y94,SUM(Y$7:Y93)-AC94-SUM(Y95:Y$114),0)</f>
        <v>0</v>
      </c>
      <c r="AF94" s="21">
        <f t="shared" si="38"/>
        <v>86</v>
      </c>
      <c r="AG94" s="117">
        <f t="shared" si="36"/>
        <v>1.7916666666666667</v>
      </c>
      <c r="AH94" s="115">
        <f>SUM(Y$7:Y93)-SUM(Y94:Y$124)</f>
        <v>15661.614723397628</v>
      </c>
      <c r="AI94" s="115">
        <f>-SUM(Z$7:Z93)+SUM(Z94:Z$124)</f>
        <v>-578253.9036741485</v>
      </c>
      <c r="AJ94" s="115">
        <f t="shared" si="32"/>
        <v>-15661.614723397628</v>
      </c>
      <c r="AK94" s="115">
        <f t="shared" si="33"/>
        <v>578253.9036741485</v>
      </c>
      <c r="AL94" s="104">
        <f t="shared" si="37"/>
        <v>-36.92172958451516</v>
      </c>
    </row>
    <row r="95" spans="16:38" ht="15.75" customHeight="1">
      <c r="P95" s="21">
        <f t="shared" si="34"/>
        <v>89</v>
      </c>
      <c r="Q95" s="21">
        <f t="shared" si="35"/>
        <v>88.5</v>
      </c>
      <c r="R95" s="21">
        <v>1</v>
      </c>
      <c r="S95" s="27">
        <f t="shared" si="28"/>
        <v>0</v>
      </c>
      <c r="T95" s="27">
        <f t="shared" si="29"/>
        <v>0</v>
      </c>
      <c r="U95" s="27">
        <f t="shared" si="24"/>
        <v>0</v>
      </c>
      <c r="V95" s="27">
        <f t="shared" si="25"/>
        <v>0</v>
      </c>
      <c r="W95" s="116">
        <f t="shared" si="30"/>
        <v>0</v>
      </c>
      <c r="X95" s="116">
        <f>'Soil Profile'!N125</f>
        <v>12.247450000000033</v>
      </c>
      <c r="Y95" s="104">
        <f t="shared" si="26"/>
        <v>0</v>
      </c>
      <c r="Z95" s="206">
        <f t="shared" si="27"/>
        <v>0</v>
      </c>
      <c r="AA95" s="208"/>
      <c r="AB95" s="202">
        <f t="shared" si="31"/>
        <v>0</v>
      </c>
      <c r="AC95" s="104">
        <f>IF(Q95=-$D$35,+(SUM(AB$7:AB94)-SUM(AB96:AB$114))/(Q95+$D$35+0.0001),+(SUM(AB$7:AB94)-SUM(AB96:AB$114))/(Q95+$D$35))</f>
        <v>8216.462655687568</v>
      </c>
      <c r="AD95" s="104">
        <f>IF(ABS(AC95)&lt;Y95,SUM(Y$7:Y94)-AC95-SUM(Y96:Y$114),0)</f>
        <v>0</v>
      </c>
      <c r="AF95" s="21">
        <f t="shared" si="38"/>
        <v>87</v>
      </c>
      <c r="AG95" s="117">
        <f t="shared" si="36"/>
        <v>1.8125</v>
      </c>
      <c r="AH95" s="115">
        <f>SUM(Y$7:Y94)-SUM(Y95:Y$124)</f>
        <v>15661.614723397628</v>
      </c>
      <c r="AI95" s="115">
        <f>-SUM(Z$7:Z94)+SUM(Z95:Z$124)</f>
        <v>-578253.9036741485</v>
      </c>
      <c r="AJ95" s="115">
        <f t="shared" si="32"/>
        <v>-15661.614723397628</v>
      </c>
      <c r="AK95" s="115">
        <f t="shared" si="33"/>
        <v>578253.9036741485</v>
      </c>
      <c r="AL95" s="104">
        <f t="shared" si="37"/>
        <v>-36.92172958451516</v>
      </c>
    </row>
    <row r="96" spans="16:38" ht="15.75" customHeight="1">
      <c r="P96" s="21">
        <f t="shared" si="34"/>
        <v>90</v>
      </c>
      <c r="Q96" s="21">
        <f t="shared" si="35"/>
        <v>89.5</v>
      </c>
      <c r="R96" s="21">
        <v>1</v>
      </c>
      <c r="S96" s="27">
        <f t="shared" si="28"/>
        <v>0</v>
      </c>
      <c r="T96" s="27">
        <f t="shared" si="29"/>
        <v>0</v>
      </c>
      <c r="U96" s="27">
        <f t="shared" si="24"/>
        <v>0</v>
      </c>
      <c r="V96" s="27">
        <f t="shared" si="25"/>
        <v>0</v>
      </c>
      <c r="W96" s="116">
        <f t="shared" si="30"/>
        <v>0</v>
      </c>
      <c r="X96" s="116">
        <f>'Soil Profile'!N126</f>
        <v>12.139150000000031</v>
      </c>
      <c r="Y96" s="104">
        <f t="shared" si="26"/>
        <v>0</v>
      </c>
      <c r="Z96" s="206">
        <f t="shared" si="27"/>
        <v>0</v>
      </c>
      <c r="AA96" s="208"/>
      <c r="AB96" s="202">
        <f t="shared" si="31"/>
        <v>0</v>
      </c>
      <c r="AC96" s="104">
        <f>IF(Q96=-$D$35,+(SUM(AB$7:AB95)-SUM(AB97:AB$114))/(Q96+$D$35+0.0001),+(SUM(AB$7:AB95)-SUM(AB97:AB$114))/(Q96+$D$35))</f>
        <v>8141.426467051152</v>
      </c>
      <c r="AD96" s="104">
        <f>IF(ABS(AC96)&lt;Y96,SUM(Y$7:Y95)-AC96-SUM(Y97:Y$114),0)</f>
        <v>0</v>
      </c>
      <c r="AF96" s="21">
        <f t="shared" si="38"/>
        <v>88</v>
      </c>
      <c r="AG96" s="117">
        <f t="shared" si="36"/>
        <v>1.8333333333333333</v>
      </c>
      <c r="AH96" s="115">
        <f>SUM(Y$7:Y95)-SUM(Y96:Y$124)</f>
        <v>15661.614723397628</v>
      </c>
      <c r="AI96" s="115">
        <f>-SUM(Z$7:Z95)+SUM(Z96:Z$124)</f>
        <v>-578253.9036741485</v>
      </c>
      <c r="AJ96" s="115">
        <f t="shared" si="32"/>
        <v>-15661.614723397628</v>
      </c>
      <c r="AK96" s="115">
        <f t="shared" si="33"/>
        <v>578253.9036741485</v>
      </c>
      <c r="AL96" s="104">
        <f t="shared" si="37"/>
        <v>-36.92172958451516</v>
      </c>
    </row>
    <row r="97" spans="16:38" ht="15.75" customHeight="1">
      <c r="P97" s="21">
        <f t="shared" si="34"/>
        <v>91</v>
      </c>
      <c r="Q97" s="21">
        <f t="shared" si="35"/>
        <v>90.5</v>
      </c>
      <c r="R97" s="21">
        <v>1</v>
      </c>
      <c r="S97" s="27">
        <f t="shared" si="28"/>
        <v>0</v>
      </c>
      <c r="T97" s="27">
        <f t="shared" si="29"/>
        <v>0</v>
      </c>
      <c r="U97" s="27">
        <f t="shared" si="24"/>
        <v>0</v>
      </c>
      <c r="V97" s="27">
        <f t="shared" si="25"/>
        <v>0</v>
      </c>
      <c r="W97" s="116">
        <f t="shared" si="30"/>
        <v>0</v>
      </c>
      <c r="X97" s="116">
        <f>'Soil Profile'!N127</f>
        <v>12.03085000000003</v>
      </c>
      <c r="Y97" s="104">
        <f t="shared" si="26"/>
        <v>0</v>
      </c>
      <c r="Z97" s="206">
        <f t="shared" si="27"/>
        <v>0</v>
      </c>
      <c r="AA97" s="208"/>
      <c r="AB97" s="202">
        <f t="shared" si="31"/>
        <v>0</v>
      </c>
      <c r="AC97" s="104">
        <f>IF(Q97=-$D$35,+(SUM(AB$7:AB96)-SUM(AB98:AB$114))/(Q97+$D$35+0.0001),+(SUM(AB$7:AB96)-SUM(AB98:AB$114))/(Q97+$D$35))</f>
        <v>8067.748399476029</v>
      </c>
      <c r="AD97" s="104">
        <f>IF(ABS(AC97)&lt;Y97,SUM(Y$7:Y96)-AC97-SUM(Y98:Y$114),0)</f>
        <v>0</v>
      </c>
      <c r="AF97" s="21">
        <f t="shared" si="38"/>
        <v>89</v>
      </c>
      <c r="AG97" s="117">
        <f t="shared" si="36"/>
        <v>1.8541666666666667</v>
      </c>
      <c r="AH97" s="115">
        <f>SUM(Y$7:Y96)-SUM(Y97:Y$124)</f>
        <v>15661.614723397628</v>
      </c>
      <c r="AI97" s="115">
        <f>-SUM(Z$7:Z96)+SUM(Z97:Z$124)</f>
        <v>-578253.9036741485</v>
      </c>
      <c r="AJ97" s="115">
        <f t="shared" si="32"/>
        <v>-15661.614723397628</v>
      </c>
      <c r="AK97" s="115">
        <f t="shared" si="33"/>
        <v>578253.9036741485</v>
      </c>
      <c r="AL97" s="104">
        <f t="shared" si="37"/>
        <v>-36.92172958451516</v>
      </c>
    </row>
    <row r="98" spans="16:38" ht="15.75" customHeight="1">
      <c r="P98" s="21">
        <f t="shared" si="34"/>
        <v>92</v>
      </c>
      <c r="Q98" s="21">
        <f t="shared" si="35"/>
        <v>91.5</v>
      </c>
      <c r="R98" s="21">
        <v>1</v>
      </c>
      <c r="S98" s="27">
        <f t="shared" si="28"/>
        <v>0</v>
      </c>
      <c r="T98" s="27">
        <f t="shared" si="29"/>
        <v>0</v>
      </c>
      <c r="U98" s="27">
        <f t="shared" si="24"/>
        <v>0</v>
      </c>
      <c r="V98" s="27">
        <f t="shared" si="25"/>
        <v>0</v>
      </c>
      <c r="W98" s="116">
        <f t="shared" si="30"/>
        <v>0</v>
      </c>
      <c r="X98" s="116">
        <f>'Soil Profile'!N128</f>
        <v>11.922550000000031</v>
      </c>
      <c r="Y98" s="104">
        <f t="shared" si="26"/>
        <v>0</v>
      </c>
      <c r="Z98" s="206">
        <f t="shared" si="27"/>
        <v>0</v>
      </c>
      <c r="AA98" s="208"/>
      <c r="AB98" s="202">
        <f t="shared" si="31"/>
        <v>0</v>
      </c>
      <c r="AC98" s="104">
        <f>IF(Q98=-$D$35,+(SUM(AB$7:AB97)-SUM(AB99:AB$114))/(Q98+$D$35+0.0001),+(SUM(AB$7:AB97)-SUM(AB99:AB$114))/(Q98+$D$35))</f>
        <v>7995.391911588351</v>
      </c>
      <c r="AD98" s="104">
        <f>IF(ABS(AC98)&lt;Y98,SUM(Y$7:Y97)-AC98-SUM(Y99:Y$114),0)</f>
        <v>0</v>
      </c>
      <c r="AF98" s="21">
        <f t="shared" si="38"/>
        <v>90</v>
      </c>
      <c r="AG98" s="117">
        <f t="shared" si="36"/>
        <v>1.875</v>
      </c>
      <c r="AH98" s="115">
        <f>SUM(Y$7:Y97)-SUM(Y98:Y$124)</f>
        <v>15661.614723397628</v>
      </c>
      <c r="AI98" s="115">
        <f>-SUM(Z$7:Z97)+SUM(Z98:Z$124)</f>
        <v>-578253.9036741485</v>
      </c>
      <c r="AJ98" s="115">
        <f t="shared" si="32"/>
        <v>-15661.614723397628</v>
      </c>
      <c r="AK98" s="115">
        <f t="shared" si="33"/>
        <v>578253.9036741485</v>
      </c>
      <c r="AL98" s="104">
        <f t="shared" si="37"/>
        <v>-36.92172958451516</v>
      </c>
    </row>
    <row r="99" spans="16:38" ht="15.75" customHeight="1">
      <c r="P99" s="21">
        <f t="shared" si="34"/>
        <v>93</v>
      </c>
      <c r="Q99" s="21">
        <f t="shared" si="35"/>
        <v>92.5</v>
      </c>
      <c r="R99" s="21">
        <v>1</v>
      </c>
      <c r="S99" s="27">
        <f t="shared" si="28"/>
        <v>0</v>
      </c>
      <c r="T99" s="27">
        <f t="shared" si="29"/>
        <v>0</v>
      </c>
      <c r="U99" s="27">
        <f t="shared" si="24"/>
        <v>0</v>
      </c>
      <c r="V99" s="27">
        <f t="shared" si="25"/>
        <v>0</v>
      </c>
      <c r="W99" s="116">
        <f t="shared" si="30"/>
        <v>0</v>
      </c>
      <c r="X99" s="116">
        <f>'Soil Profile'!N129</f>
        <v>11.814250000000031</v>
      </c>
      <c r="Y99" s="104">
        <f t="shared" si="26"/>
        <v>0</v>
      </c>
      <c r="Z99" s="206">
        <f t="shared" si="27"/>
        <v>0</v>
      </c>
      <c r="AA99" s="208"/>
      <c r="AB99" s="202">
        <f t="shared" si="31"/>
        <v>0</v>
      </c>
      <c r="AC99" s="104">
        <f>IF(Q99=-$D$35,+(SUM(AB$7:AB98)-SUM(AB100:AB$114))/(Q99+$D$35+0.0001),+(SUM(AB$7:AB98)-SUM(AB100:AB$114))/(Q99+$D$35))</f>
        <v>7924.3217612631215</v>
      </c>
      <c r="AD99" s="104">
        <f>IF(ABS(AC99)&lt;Y99,SUM(Y$7:Y98)-AC99-SUM(Y100:Y$114),0)</f>
        <v>0</v>
      </c>
      <c r="AF99" s="21">
        <f t="shared" si="38"/>
        <v>91</v>
      </c>
      <c r="AG99" s="117">
        <f t="shared" si="36"/>
        <v>1.8958333333333333</v>
      </c>
      <c r="AH99" s="115">
        <f>SUM(Y$7:Y98)-SUM(Y99:Y$124)</f>
        <v>15661.614723397628</v>
      </c>
      <c r="AI99" s="115">
        <f>-SUM(Z$7:Z98)+SUM(Z99:Z$124)</f>
        <v>-578253.9036741485</v>
      </c>
      <c r="AJ99" s="115">
        <f t="shared" si="32"/>
        <v>-15661.614723397628</v>
      </c>
      <c r="AK99" s="115">
        <f t="shared" si="33"/>
        <v>578253.9036741485</v>
      </c>
      <c r="AL99" s="104">
        <f t="shared" si="37"/>
        <v>-36.92172958451516</v>
      </c>
    </row>
    <row r="100" spans="16:38" ht="15.75" customHeight="1">
      <c r="P100" s="21">
        <f t="shared" si="34"/>
        <v>94</v>
      </c>
      <c r="Q100" s="21">
        <f t="shared" si="35"/>
        <v>93.5</v>
      </c>
      <c r="R100" s="21">
        <v>1</v>
      </c>
      <c r="S100" s="27">
        <f t="shared" si="28"/>
        <v>0</v>
      </c>
      <c r="T100" s="27">
        <f t="shared" si="29"/>
        <v>0</v>
      </c>
      <c r="U100" s="27">
        <f t="shared" si="24"/>
        <v>0</v>
      </c>
      <c r="V100" s="27">
        <f t="shared" si="25"/>
        <v>0</v>
      </c>
      <c r="W100" s="116">
        <f t="shared" si="30"/>
        <v>0</v>
      </c>
      <c r="X100" s="116">
        <f>'Soil Profile'!N130</f>
        <v>11.70595000000003</v>
      </c>
      <c r="Y100" s="104">
        <f t="shared" si="26"/>
        <v>0</v>
      </c>
      <c r="Z100" s="206">
        <f t="shared" si="27"/>
        <v>0</v>
      </c>
      <c r="AA100" s="208"/>
      <c r="AB100" s="202">
        <f t="shared" si="31"/>
        <v>0</v>
      </c>
      <c r="AC100" s="104">
        <f>IF(Q100=-$D$35,+(SUM(AB$7:AB99)-SUM(AB101:AB$114))/(Q100+$D$35+0.0001),+(SUM(AB$7:AB99)-SUM(AB101:AB$114))/(Q100+$D$35))</f>
        <v>7854.503948388557</v>
      </c>
      <c r="AD100" s="104">
        <f>IF(ABS(AC100)&lt;Y100,SUM(Y$7:Y99)-AC100-SUM(Y101:Y$114),0)</f>
        <v>0</v>
      </c>
      <c r="AF100" s="21">
        <f t="shared" si="38"/>
        <v>92</v>
      </c>
      <c r="AG100" s="117">
        <f t="shared" si="36"/>
        <v>1.9166666666666667</v>
      </c>
      <c r="AH100" s="115">
        <f>SUM(Y$7:Y99)-SUM(Y100:Y$124)</f>
        <v>15661.614723397628</v>
      </c>
      <c r="AI100" s="115">
        <f>-SUM(Z$7:Z99)+SUM(Z100:Z$124)</f>
        <v>-578253.9036741485</v>
      </c>
      <c r="AJ100" s="115">
        <f t="shared" si="32"/>
        <v>-15661.614723397628</v>
      </c>
      <c r="AK100" s="115">
        <f t="shared" si="33"/>
        <v>578253.9036741485</v>
      </c>
      <c r="AL100" s="104">
        <f t="shared" si="37"/>
        <v>-36.92172958451516</v>
      </c>
    </row>
    <row r="101" spans="16:38" ht="15.75" customHeight="1">
      <c r="P101" s="21">
        <f t="shared" si="34"/>
        <v>95</v>
      </c>
      <c r="Q101" s="21">
        <f t="shared" si="35"/>
        <v>94.5</v>
      </c>
      <c r="R101" s="21">
        <v>1</v>
      </c>
      <c r="S101" s="27">
        <f t="shared" si="28"/>
        <v>0</v>
      </c>
      <c r="T101" s="27">
        <f t="shared" si="29"/>
        <v>0</v>
      </c>
      <c r="U101" s="27">
        <f t="shared" si="24"/>
        <v>0</v>
      </c>
      <c r="V101" s="27">
        <f t="shared" si="25"/>
        <v>0</v>
      </c>
      <c r="W101" s="116">
        <f t="shared" si="30"/>
        <v>0</v>
      </c>
      <c r="X101" s="116">
        <f>'Soil Profile'!N131</f>
        <v>11.597650000000032</v>
      </c>
      <c r="Y101" s="104">
        <f t="shared" si="26"/>
        <v>0</v>
      </c>
      <c r="Z101" s="206">
        <f t="shared" si="27"/>
        <v>0</v>
      </c>
      <c r="AA101" s="208"/>
      <c r="AB101" s="202">
        <f t="shared" si="31"/>
        <v>0</v>
      </c>
      <c r="AC101" s="104">
        <f>IF(Q101=-$D$35,+(SUM(AB$7:AB100)-SUM(AB102:AB$114))/(Q101+$D$35+0.0001),+(SUM(AB$7:AB100)-SUM(AB102:AB$114))/(Q101+$D$35))</f>
        <v>7785.9056606297045</v>
      </c>
      <c r="AD101" s="104">
        <f>IF(ABS(AC101)&lt;Y101,SUM(Y$7:Y100)-AC101-SUM(Y102:Y$114),0)</f>
        <v>0</v>
      </c>
      <c r="AF101" s="21">
        <f t="shared" si="38"/>
        <v>93</v>
      </c>
      <c r="AG101" s="117">
        <f t="shared" si="36"/>
        <v>1.9375</v>
      </c>
      <c r="AH101" s="115">
        <f>SUM(Y$7:Y100)-SUM(Y101:Y$124)</f>
        <v>15661.614723397628</v>
      </c>
      <c r="AI101" s="115">
        <f>-SUM(Z$7:Z100)+SUM(Z101:Z$124)</f>
        <v>-578253.9036741485</v>
      </c>
      <c r="AJ101" s="115">
        <f t="shared" si="32"/>
        <v>-15661.614723397628</v>
      </c>
      <c r="AK101" s="115">
        <f t="shared" si="33"/>
        <v>578253.9036741485</v>
      </c>
      <c r="AL101" s="104">
        <f t="shared" si="37"/>
        <v>-36.92172958451516</v>
      </c>
    </row>
    <row r="102" spans="16:38" ht="15.75" customHeight="1">
      <c r="P102" s="21">
        <f t="shared" si="34"/>
        <v>96</v>
      </c>
      <c r="Q102" s="21">
        <f t="shared" si="35"/>
        <v>95.5</v>
      </c>
      <c r="R102" s="21">
        <v>1</v>
      </c>
      <c r="S102" s="27">
        <f t="shared" si="28"/>
        <v>0</v>
      </c>
      <c r="T102" s="27">
        <f t="shared" si="29"/>
        <v>0</v>
      </c>
      <c r="U102" s="27">
        <f t="shared" si="24"/>
        <v>0</v>
      </c>
      <c r="V102" s="27">
        <f t="shared" si="25"/>
        <v>0</v>
      </c>
      <c r="W102" s="116">
        <f t="shared" si="30"/>
        <v>0</v>
      </c>
      <c r="X102" s="116">
        <f>'Soil Profile'!N132</f>
        <v>11.48935000000003</v>
      </c>
      <c r="Y102" s="104">
        <f t="shared" si="26"/>
        <v>0</v>
      </c>
      <c r="Z102" s="206">
        <f t="shared" si="27"/>
        <v>0</v>
      </c>
      <c r="AA102" s="208"/>
      <c r="AB102" s="202">
        <f t="shared" si="31"/>
        <v>0</v>
      </c>
      <c r="AC102" s="104">
        <f>IF(Q102=-$D$35,+(SUM(AB$7:AB101)-SUM(AB103:AB$114))/(Q102+$D$35+0.0001),+(SUM(AB$7:AB101)-SUM(AB103:AB$114))/(Q102+$D$35))</f>
        <v>7718.495222009534</v>
      </c>
      <c r="AD102" s="104">
        <f>IF(ABS(AC102)&lt;Y102,SUM(Y$7:Y101)-AC102-SUM(Y103:Y$114),0)</f>
        <v>0</v>
      </c>
      <c r="AF102" s="21">
        <f t="shared" si="38"/>
        <v>94</v>
      </c>
      <c r="AG102" s="117">
        <f t="shared" si="36"/>
        <v>1.9583333333333333</v>
      </c>
      <c r="AH102" s="115">
        <f>SUM(Y$7:Y101)-SUM(Y102:Y$124)</f>
        <v>15661.614723397628</v>
      </c>
      <c r="AI102" s="115">
        <f>-SUM(Z$7:Z101)+SUM(Z102:Z$124)</f>
        <v>-578253.9036741485</v>
      </c>
      <c r="AJ102" s="115">
        <f t="shared" si="32"/>
        <v>-15661.614723397628</v>
      </c>
      <c r="AK102" s="115">
        <f t="shared" si="33"/>
        <v>578253.9036741485</v>
      </c>
      <c r="AL102" s="104">
        <f t="shared" si="37"/>
        <v>-36.92172958451516</v>
      </c>
    </row>
    <row r="103" spans="16:38" ht="15.75" customHeight="1">
      <c r="P103" s="21">
        <f t="shared" si="34"/>
        <v>97</v>
      </c>
      <c r="Q103" s="21">
        <f t="shared" si="35"/>
        <v>96.5</v>
      </c>
      <c r="R103" s="21">
        <v>1</v>
      </c>
      <c r="S103" s="27">
        <f t="shared" si="28"/>
        <v>0</v>
      </c>
      <c r="T103" s="27">
        <f t="shared" si="29"/>
        <v>0</v>
      </c>
      <c r="U103" s="27">
        <f aca="true" t="shared" si="39" ref="U103:U114">IF(AND(Q103&gt;$D$12,Q103&lt;$D$13),$D$14,0)</f>
        <v>0</v>
      </c>
      <c r="V103" s="27">
        <f aca="true" t="shared" si="40" ref="V103:V114">IF(AND(Q103&gt;$D$15,Q103&lt;$D$16),$D$17,0)</f>
        <v>0</v>
      </c>
      <c r="W103" s="116">
        <f t="shared" si="30"/>
        <v>0</v>
      </c>
      <c r="X103" s="116">
        <f>'Soil Profile'!N133</f>
        <v>11.38105000000003</v>
      </c>
      <c r="Y103" s="104">
        <f aca="true" t="shared" si="41" ref="Y103:Y108">+X103*R103*W103</f>
        <v>0</v>
      </c>
      <c r="Z103" s="206">
        <f aca="true" t="shared" si="42" ref="Z103:Z108">+Y103*Q103</f>
        <v>0</v>
      </c>
      <c r="AA103" s="208"/>
      <c r="AB103" s="202">
        <f t="shared" si="31"/>
        <v>0</v>
      </c>
      <c r="AC103" s="104">
        <f>IF(Q103=-$D$35,+(SUM(AB$7:AB102)-SUM(AB104:AB$114))/(Q103+$D$35+0.0001),+(SUM(AB$7:AB102)-SUM(AB104:AB$114))/(Q103+$D$35))</f>
        <v>7652.242044138207</v>
      </c>
      <c r="AD103" s="104">
        <f>IF(ABS(AC103)&lt;Y103,SUM(Y$7:Y102)-AC103-SUM(Y104:Y$114),0)</f>
        <v>0</v>
      </c>
      <c r="AF103" s="21">
        <f t="shared" si="38"/>
        <v>95</v>
      </c>
      <c r="AG103" s="117">
        <f t="shared" si="36"/>
        <v>1.9791666666666667</v>
      </c>
      <c r="AH103" s="115">
        <f>SUM(Y$7:Y102)-SUM(Y103:Y$124)</f>
        <v>15661.614723397628</v>
      </c>
      <c r="AI103" s="115">
        <f>-SUM(Z$7:Z102)+SUM(Z103:Z$124)</f>
        <v>-578253.9036741485</v>
      </c>
      <c r="AJ103" s="115">
        <f t="shared" si="32"/>
        <v>-15661.614723397628</v>
      </c>
      <c r="AK103" s="115">
        <f t="shared" si="33"/>
        <v>578253.9036741485</v>
      </c>
      <c r="AL103" s="104">
        <f t="shared" si="37"/>
        <v>-36.92172958451516</v>
      </c>
    </row>
    <row r="104" spans="16:38" ht="15.75" customHeight="1">
      <c r="P104" s="21">
        <f t="shared" si="34"/>
        <v>98</v>
      </c>
      <c r="Q104" s="21">
        <f t="shared" si="35"/>
        <v>97.5</v>
      </c>
      <c r="R104" s="21">
        <v>1</v>
      </c>
      <c r="S104" s="27">
        <f t="shared" si="28"/>
        <v>0</v>
      </c>
      <c r="T104" s="27">
        <f t="shared" si="29"/>
        <v>0</v>
      </c>
      <c r="U104" s="27">
        <f t="shared" si="39"/>
        <v>0</v>
      </c>
      <c r="V104" s="27">
        <f t="shared" si="40"/>
        <v>0</v>
      </c>
      <c r="W104" s="116">
        <f t="shared" si="30"/>
        <v>0</v>
      </c>
      <c r="X104" s="116">
        <f>'Soil Profile'!N134</f>
        <v>11.27275000000003</v>
      </c>
      <c r="Y104" s="104">
        <f t="shared" si="41"/>
        <v>0</v>
      </c>
      <c r="Z104" s="206">
        <f t="shared" si="42"/>
        <v>0</v>
      </c>
      <c r="AA104" s="208"/>
      <c r="AB104" s="202">
        <f t="shared" si="31"/>
        <v>0</v>
      </c>
      <c r="AC104" s="104">
        <f>IF(Q104=-$D$35,+(SUM(AB$7:AB103)-SUM(AB105:AB$114))/(Q104+$D$35+0.0001),+(SUM(AB$7:AB103)-SUM(AB105:AB$114))/(Q104+$D$35))</f>
        <v>7587.1165799327755</v>
      </c>
      <c r="AD104" s="104">
        <f>IF(ABS(AC104)&lt;Y104,SUM(Y$7:Y103)-AC104-SUM(Y105:Y$114),0)</f>
        <v>0</v>
      </c>
      <c r="AF104" s="21">
        <f t="shared" si="38"/>
        <v>96</v>
      </c>
      <c r="AG104" s="117">
        <f t="shared" si="36"/>
        <v>2</v>
      </c>
      <c r="AH104" s="115">
        <f>SUM(Y$7:Y103)-SUM(Y104:Y$124)</f>
        <v>15661.614723397628</v>
      </c>
      <c r="AI104" s="115">
        <f>-SUM(Z$7:Z103)+SUM(Z104:Z$124)</f>
        <v>-578253.9036741485</v>
      </c>
      <c r="AJ104" s="115">
        <f aca="true" t="shared" si="43" ref="AJ104:AJ115">-AH104</f>
        <v>-15661.614723397628</v>
      </c>
      <c r="AK104" s="115">
        <f aca="true" t="shared" si="44" ref="AK104:AK115">-AI104</f>
        <v>578253.9036741485</v>
      </c>
      <c r="AL104" s="104">
        <f t="shared" si="37"/>
        <v>-36.92172958451516</v>
      </c>
    </row>
    <row r="105" spans="16:38" ht="15.75" customHeight="1">
      <c r="P105" s="21">
        <f t="shared" si="34"/>
        <v>99</v>
      </c>
      <c r="Q105" s="21">
        <f t="shared" si="35"/>
        <v>98.5</v>
      </c>
      <c r="R105" s="21">
        <v>1</v>
      </c>
      <c r="S105" s="27">
        <f t="shared" si="28"/>
        <v>0</v>
      </c>
      <c r="T105" s="27">
        <f t="shared" si="29"/>
        <v>0</v>
      </c>
      <c r="U105" s="27">
        <f t="shared" si="39"/>
        <v>0</v>
      </c>
      <c r="V105" s="27">
        <f t="shared" si="40"/>
        <v>0</v>
      </c>
      <c r="W105" s="116">
        <f t="shared" si="30"/>
        <v>0</v>
      </c>
      <c r="X105" s="116">
        <f>'Soil Profile'!N135</f>
        <v>11.16445000000003</v>
      </c>
      <c r="Y105" s="104">
        <f t="shared" si="41"/>
        <v>0</v>
      </c>
      <c r="Z105" s="206">
        <f t="shared" si="42"/>
        <v>0</v>
      </c>
      <c r="AA105" s="208"/>
      <c r="AB105" s="202">
        <f t="shared" si="31"/>
        <v>0</v>
      </c>
      <c r="AC105" s="104">
        <f>IF(Q105=-$D$35,+(SUM(AB$7:AB104)-SUM(AB106:AB$114))/(Q105+$D$35+0.0001),+(SUM(AB$7:AB104)-SUM(AB106:AB$114))/(Q105+$D$35))</f>
        <v>7523.090279680178</v>
      </c>
      <c r="AD105" s="104">
        <f>IF(ABS(AC105)&lt;Y105,SUM(Y$7:Y104)-AC105-SUM(Y106:Y$114),0)</f>
        <v>0</v>
      </c>
      <c r="AF105" s="21">
        <f t="shared" si="38"/>
        <v>97</v>
      </c>
      <c r="AG105" s="117">
        <f t="shared" si="36"/>
        <v>2.0208333333333335</v>
      </c>
      <c r="AH105" s="115">
        <f>SUM(Y$7:Y104)-SUM(Y105:Y$124)</f>
        <v>15661.614723397628</v>
      </c>
      <c r="AI105" s="115">
        <f>-SUM(Z$7:Z104)+SUM(Z105:Z$124)</f>
        <v>-578253.9036741485</v>
      </c>
      <c r="AJ105" s="115">
        <f t="shared" si="43"/>
        <v>-15661.614723397628</v>
      </c>
      <c r="AK105" s="115">
        <f t="shared" si="44"/>
        <v>578253.9036741485</v>
      </c>
      <c r="AL105" s="104">
        <f t="shared" si="37"/>
        <v>-36.92172958451516</v>
      </c>
    </row>
    <row r="106" spans="16:38" ht="15.75" customHeight="1">
      <c r="P106" s="21">
        <f t="shared" si="34"/>
        <v>100</v>
      </c>
      <c r="Q106" s="21">
        <f t="shared" si="35"/>
        <v>99.5</v>
      </c>
      <c r="R106" s="21">
        <v>1</v>
      </c>
      <c r="S106" s="27">
        <f t="shared" si="28"/>
        <v>0</v>
      </c>
      <c r="T106" s="27">
        <f t="shared" si="29"/>
        <v>0</v>
      </c>
      <c r="U106" s="27">
        <f t="shared" si="39"/>
        <v>0</v>
      </c>
      <c r="V106" s="27">
        <f t="shared" si="40"/>
        <v>0</v>
      </c>
      <c r="W106" s="116">
        <f t="shared" si="30"/>
        <v>0</v>
      </c>
      <c r="X106" s="116">
        <f>'Soil Profile'!N136</f>
        <v>11.05615000000003</v>
      </c>
      <c r="Y106" s="104">
        <f t="shared" si="41"/>
        <v>0</v>
      </c>
      <c r="Z106" s="206">
        <f t="shared" si="42"/>
        <v>0</v>
      </c>
      <c r="AA106" s="208"/>
      <c r="AB106" s="202">
        <f t="shared" si="31"/>
        <v>0</v>
      </c>
      <c r="AC106" s="104">
        <f>IF(Q106=-$D$35,+(SUM(AB$7:AB105)-SUM(AB107:AB$114))/(Q106+$D$35+0.0001),+(SUM(AB$7:AB105)-SUM(AB107:AB$114))/(Q106+$D$35))</f>
        <v>7460.135549306286</v>
      </c>
      <c r="AD106" s="104">
        <f>IF(ABS(AC106)&lt;Y106,SUM(Y$7:Y105)-AC106-SUM(Y107:Y$114),0)</f>
        <v>0</v>
      </c>
      <c r="AF106" s="21">
        <f t="shared" si="38"/>
        <v>98</v>
      </c>
      <c r="AG106" s="117">
        <f t="shared" si="36"/>
        <v>2.0416666666666665</v>
      </c>
      <c r="AH106" s="115">
        <f>SUM(Y$7:Y105)-SUM(Y106:Y$124)</f>
        <v>15661.614723397628</v>
      </c>
      <c r="AI106" s="115">
        <f>-SUM(Z$7:Z105)+SUM(Z106:Z$124)</f>
        <v>-578253.9036741485</v>
      </c>
      <c r="AJ106" s="115">
        <f t="shared" si="43"/>
        <v>-15661.614723397628</v>
      </c>
      <c r="AK106" s="115">
        <f t="shared" si="44"/>
        <v>578253.9036741485</v>
      </c>
      <c r="AL106" s="104">
        <f t="shared" si="37"/>
        <v>-36.92172958451516</v>
      </c>
    </row>
    <row r="107" spans="16:38" ht="15.75" customHeight="1">
      <c r="P107" s="21">
        <f t="shared" si="34"/>
        <v>101</v>
      </c>
      <c r="Q107" s="21">
        <f t="shared" si="35"/>
        <v>100.5</v>
      </c>
      <c r="R107" s="21">
        <v>1</v>
      </c>
      <c r="S107" s="27">
        <f t="shared" si="28"/>
        <v>0</v>
      </c>
      <c r="T107" s="27">
        <f t="shared" si="29"/>
        <v>0</v>
      </c>
      <c r="U107" s="27">
        <f t="shared" si="39"/>
        <v>0</v>
      </c>
      <c r="V107" s="27">
        <f t="shared" si="40"/>
        <v>0</v>
      </c>
      <c r="W107" s="116">
        <f t="shared" si="30"/>
        <v>0</v>
      </c>
      <c r="X107" s="116">
        <f>'Soil Profile'!N137</f>
        <v>10.947850000000031</v>
      </c>
      <c r="Y107" s="104">
        <f t="shared" si="41"/>
        <v>0</v>
      </c>
      <c r="Z107" s="206">
        <f t="shared" si="42"/>
        <v>0</v>
      </c>
      <c r="AA107" s="208"/>
      <c r="AB107" s="202">
        <f t="shared" si="31"/>
        <v>0</v>
      </c>
      <c r="AC107" s="104">
        <f>IF(Q107=-$D$35,+(SUM(AB$7:AB106)-SUM(AB108:AB$114))/(Q107+$D$35+0.0001),+(SUM(AB$7:AB106)-SUM(AB108:AB$114))/(Q107+$D$35))</f>
        <v>7398.2257107228315</v>
      </c>
      <c r="AD107" s="104">
        <f>IF(ABS(AC107)&lt;Y107,SUM(Y$7:Y106)-AC107-SUM(Y108:Y$114),0)</f>
        <v>0</v>
      </c>
      <c r="AF107" s="21">
        <f t="shared" si="38"/>
        <v>99</v>
      </c>
      <c r="AG107" s="117">
        <f t="shared" si="36"/>
        <v>2.0625</v>
      </c>
      <c r="AH107" s="115">
        <f>SUM(Y$7:Y106)-SUM(Y107:Y$124)</f>
        <v>15661.614723397628</v>
      </c>
      <c r="AI107" s="115">
        <f>-SUM(Z$7:Z106)+SUM(Z107:Z$124)</f>
        <v>-578253.9036741485</v>
      </c>
      <c r="AJ107" s="115">
        <f t="shared" si="43"/>
        <v>-15661.614723397628</v>
      </c>
      <c r="AK107" s="115">
        <f t="shared" si="44"/>
        <v>578253.9036741485</v>
      </c>
      <c r="AL107" s="104">
        <f t="shared" si="37"/>
        <v>-36.92172958451516</v>
      </c>
    </row>
    <row r="108" spans="16:38" ht="15.75" customHeight="1">
      <c r="P108" s="21">
        <f t="shared" si="34"/>
        <v>102</v>
      </c>
      <c r="Q108" s="21">
        <f t="shared" si="35"/>
        <v>101.5</v>
      </c>
      <c r="R108" s="21">
        <v>1</v>
      </c>
      <c r="S108" s="27">
        <f t="shared" si="28"/>
        <v>0</v>
      </c>
      <c r="T108" s="27">
        <f t="shared" si="29"/>
        <v>0</v>
      </c>
      <c r="U108" s="27">
        <f t="shared" si="39"/>
        <v>0</v>
      </c>
      <c r="V108" s="27">
        <f t="shared" si="40"/>
        <v>0</v>
      </c>
      <c r="W108" s="116">
        <f t="shared" si="30"/>
        <v>0</v>
      </c>
      <c r="X108" s="116">
        <f>'Soil Profile'!N138</f>
        <v>10.839550000000031</v>
      </c>
      <c r="Y108" s="104">
        <f t="shared" si="41"/>
        <v>0</v>
      </c>
      <c r="Z108" s="206">
        <f t="shared" si="42"/>
        <v>0</v>
      </c>
      <c r="AA108" s="208"/>
      <c r="AB108" s="202">
        <f t="shared" si="31"/>
        <v>0</v>
      </c>
      <c r="AC108" s="104">
        <f>IF(Q108=-$D$35,+(SUM(AB$7:AB107)-SUM(AB109:AB$114))/(Q108+$D$35+0.0001),+(SUM(AB$7:AB107)-SUM(AB109:AB$114))/(Q108+$D$35))</f>
        <v>7337.33496413252</v>
      </c>
      <c r="AD108" s="104">
        <f>IF(ABS(AC108)&lt;Y108,SUM(Y$7:Y107)-AC108-SUM(Y109:Y$114),0)</f>
        <v>0</v>
      </c>
      <c r="AF108" s="21">
        <f t="shared" si="38"/>
        <v>100</v>
      </c>
      <c r="AG108" s="117">
        <f t="shared" si="36"/>
        <v>2.0833333333333335</v>
      </c>
      <c r="AH108" s="115">
        <f>SUM(Y$7:Y107)-SUM(Y108:Y$124)</f>
        <v>15661.614723397628</v>
      </c>
      <c r="AI108" s="115">
        <f>-SUM(Z$7:Z107)+SUM(Z108:Z$124)</f>
        <v>-578253.9036741485</v>
      </c>
      <c r="AJ108" s="115">
        <f t="shared" si="43"/>
        <v>-15661.614723397628</v>
      </c>
      <c r="AK108" s="115">
        <f t="shared" si="44"/>
        <v>578253.9036741485</v>
      </c>
      <c r="AL108" s="104">
        <f t="shared" si="37"/>
        <v>-36.92172958451516</v>
      </c>
    </row>
    <row r="109" spans="16:38" ht="15.75" customHeight="1">
      <c r="P109" s="21">
        <f aca="true" t="shared" si="45" ref="P109:Q114">+P108+1</f>
        <v>103</v>
      </c>
      <c r="Q109" s="21">
        <f t="shared" si="45"/>
        <v>102.5</v>
      </c>
      <c r="R109" s="21">
        <v>2</v>
      </c>
      <c r="S109" s="27">
        <f aca="true" t="shared" si="46" ref="S109:S114">IF(Q109&lt;$D$6,$D$7,0)</f>
        <v>0</v>
      </c>
      <c r="T109" s="27">
        <f aca="true" t="shared" si="47" ref="T109:T114">IF(AND(Q109&gt;$D$6,Q109&lt;($D$8+$D$6)),$D$9,0)</f>
        <v>0</v>
      </c>
      <c r="U109" s="27">
        <f t="shared" si="39"/>
        <v>0</v>
      </c>
      <c r="V109" s="27">
        <f t="shared" si="40"/>
        <v>0</v>
      </c>
      <c r="W109" s="116">
        <f aca="true" t="shared" si="48" ref="W109:W114">MAX(S109:V109)</f>
        <v>0</v>
      </c>
      <c r="X109" s="116">
        <f>'Soil Profile'!N139</f>
        <v>10.731250000000031</v>
      </c>
      <c r="Y109" s="104">
        <f aca="true" t="shared" si="49" ref="Y109:Y114">+X109*R109*W109</f>
        <v>0</v>
      </c>
      <c r="Z109" s="206">
        <f aca="true" t="shared" si="50" ref="Z109:Z114">+Y109*Q109</f>
        <v>0</v>
      </c>
      <c r="AA109" s="208"/>
      <c r="AB109" s="202">
        <f t="shared" si="31"/>
        <v>0</v>
      </c>
      <c r="AC109" s="104">
        <f>IF(Q109=-$D$35,+(SUM(AB$7:AB108)-SUM(AB110:AB$114))/(Q109+$D$35+0.0001),+(SUM(AB$7:AB108)-SUM(AB110:AB$114))/(Q109+$D$35))</f>
        <v>7277.4383521804175</v>
      </c>
      <c r="AD109" s="104">
        <f>IF(ABS(AC109)&lt;Y109,SUM(Y$7:Y108)-AC109-SUM(Y110:Y$114),0)</f>
        <v>0</v>
      </c>
      <c r="AF109" s="21">
        <f t="shared" si="38"/>
        <v>101</v>
      </c>
      <c r="AG109" s="117">
        <f t="shared" si="36"/>
        <v>2.1041666666666665</v>
      </c>
      <c r="AH109" s="115">
        <f>SUM(Y$7:Y108)-SUM(Y109:Y$124)</f>
        <v>15661.614723397628</v>
      </c>
      <c r="AI109" s="115">
        <f>-SUM(Z$7:Z108)+SUM(Z109:Z$124)</f>
        <v>-578253.9036741485</v>
      </c>
      <c r="AJ109" s="115">
        <f t="shared" si="43"/>
        <v>-15661.614723397628</v>
      </c>
      <c r="AK109" s="115">
        <f t="shared" si="44"/>
        <v>578253.9036741485</v>
      </c>
      <c r="AL109" s="104">
        <f t="shared" si="37"/>
        <v>-36.92172958451516</v>
      </c>
    </row>
    <row r="110" spans="16:38" ht="15.75" customHeight="1">
      <c r="P110" s="21">
        <f t="shared" si="45"/>
        <v>104</v>
      </c>
      <c r="Q110" s="21">
        <f t="shared" si="45"/>
        <v>103.5</v>
      </c>
      <c r="R110" s="21">
        <v>3</v>
      </c>
      <c r="S110" s="27">
        <f t="shared" si="46"/>
        <v>0</v>
      </c>
      <c r="T110" s="27">
        <f t="shared" si="47"/>
        <v>0</v>
      </c>
      <c r="U110" s="27">
        <f t="shared" si="39"/>
        <v>0</v>
      </c>
      <c r="V110" s="27">
        <f t="shared" si="40"/>
        <v>0</v>
      </c>
      <c r="W110" s="116">
        <f t="shared" si="48"/>
        <v>0</v>
      </c>
      <c r="X110" s="116">
        <f>'Soil Profile'!N140</f>
        <v>10.622950000000031</v>
      </c>
      <c r="Y110" s="104">
        <f t="shared" si="49"/>
        <v>0</v>
      </c>
      <c r="Z110" s="206">
        <f t="shared" si="50"/>
        <v>0</v>
      </c>
      <c r="AA110" s="208"/>
      <c r="AB110" s="202">
        <f t="shared" si="31"/>
        <v>0</v>
      </c>
      <c r="AC110" s="104">
        <f>IF(Q110=-$D$35,+(SUM(AB$7:AB109)-SUM(AB111:AB$114))/(Q110+$D$35+0.0001),+(SUM(AB$7:AB109)-SUM(AB111:AB$114))/(Q110+$D$35))</f>
        <v>7218.511725846973</v>
      </c>
      <c r="AD110" s="104">
        <f>IF(ABS(AC110)&lt;Y110,SUM(Y$7:Y109)-AC110-SUM(Y111:Y$114),0)</f>
        <v>0</v>
      </c>
      <c r="AF110" s="21">
        <f aca="true" t="shared" si="51" ref="AF110:AF115">+AF109+1</f>
        <v>102</v>
      </c>
      <c r="AG110" s="117">
        <f t="shared" si="36"/>
        <v>2.125</v>
      </c>
      <c r="AH110" s="115">
        <f>SUM(Y$7:Y109)-SUM(Y110:Y$124)</f>
        <v>15661.614723397628</v>
      </c>
      <c r="AI110" s="115">
        <f>-SUM(Z$7:Z109)+SUM(Z110:Z$124)</f>
        <v>-578253.9036741485</v>
      </c>
      <c r="AJ110" s="115">
        <f t="shared" si="43"/>
        <v>-15661.614723397628</v>
      </c>
      <c r="AK110" s="115">
        <f t="shared" si="44"/>
        <v>578253.9036741485</v>
      </c>
      <c r="AL110" s="104">
        <f t="shared" si="37"/>
        <v>-36.92172958451516</v>
      </c>
    </row>
    <row r="111" spans="16:38" ht="15.75" customHeight="1">
      <c r="P111" s="21">
        <f t="shared" si="45"/>
        <v>105</v>
      </c>
      <c r="Q111" s="21">
        <f t="shared" si="45"/>
        <v>104.5</v>
      </c>
      <c r="R111" s="21">
        <v>4</v>
      </c>
      <c r="S111" s="27">
        <f t="shared" si="46"/>
        <v>0</v>
      </c>
      <c r="T111" s="27">
        <f t="shared" si="47"/>
        <v>0</v>
      </c>
      <c r="U111" s="27">
        <f t="shared" si="39"/>
        <v>0</v>
      </c>
      <c r="V111" s="27">
        <f t="shared" si="40"/>
        <v>0</v>
      </c>
      <c r="W111" s="116">
        <f t="shared" si="48"/>
        <v>0</v>
      </c>
      <c r="X111" s="116">
        <f>'Soil Profile'!N141</f>
        <v>10.514650000000032</v>
      </c>
      <c r="Y111" s="104">
        <f t="shared" si="49"/>
        <v>0</v>
      </c>
      <c r="Z111" s="206">
        <f t="shared" si="50"/>
        <v>0</v>
      </c>
      <c r="AA111" s="208"/>
      <c r="AB111" s="202">
        <f t="shared" si="31"/>
        <v>0</v>
      </c>
      <c r="AC111" s="104">
        <f>IF(Q111=-$D$35,+(SUM(AB$7:AB110)-SUM(AB112:AB$114))/(Q111+$D$35+0.0001),+(SUM(AB$7:AB110)-SUM(AB112:AB$114))/(Q111+$D$35))</f>
        <v>7160.531711984749</v>
      </c>
      <c r="AD111" s="104">
        <f>IF(ABS(AC111)&lt;Y111,SUM(Y$7:Y110)-AC111-SUM(Y112:Y$114),0)</f>
        <v>0</v>
      </c>
      <c r="AF111" s="21">
        <f t="shared" si="51"/>
        <v>103</v>
      </c>
      <c r="AG111" s="117">
        <f t="shared" si="36"/>
        <v>2.1458333333333335</v>
      </c>
      <c r="AH111" s="115">
        <f>SUM(Y$7:Y110)-SUM(Y111:Y$124)</f>
        <v>15661.614723397628</v>
      </c>
      <c r="AI111" s="115">
        <f>-SUM(Z$7:Z110)+SUM(Z111:Z$124)</f>
        <v>-578253.9036741485</v>
      </c>
      <c r="AJ111" s="115">
        <f t="shared" si="43"/>
        <v>-15661.614723397628</v>
      </c>
      <c r="AK111" s="115">
        <f t="shared" si="44"/>
        <v>578253.9036741485</v>
      </c>
      <c r="AL111" s="104">
        <f t="shared" si="37"/>
        <v>-36.92172958451516</v>
      </c>
    </row>
    <row r="112" spans="16:38" ht="15.75" customHeight="1">
      <c r="P112" s="21">
        <f t="shared" si="45"/>
        <v>106</v>
      </c>
      <c r="Q112" s="21">
        <f t="shared" si="45"/>
        <v>105.5</v>
      </c>
      <c r="R112" s="21">
        <v>5</v>
      </c>
      <c r="S112" s="27">
        <f t="shared" si="46"/>
        <v>0</v>
      </c>
      <c r="T112" s="27">
        <f t="shared" si="47"/>
        <v>0</v>
      </c>
      <c r="U112" s="27">
        <f t="shared" si="39"/>
        <v>0</v>
      </c>
      <c r="V112" s="27">
        <f t="shared" si="40"/>
        <v>0</v>
      </c>
      <c r="W112" s="116">
        <f t="shared" si="48"/>
        <v>0</v>
      </c>
      <c r="X112" s="116">
        <f>'Soil Profile'!N142</f>
        <v>10.406350000000032</v>
      </c>
      <c r="Y112" s="104">
        <f t="shared" si="49"/>
        <v>0</v>
      </c>
      <c r="Z112" s="206">
        <f t="shared" si="50"/>
        <v>0</v>
      </c>
      <c r="AA112" s="208"/>
      <c r="AB112" s="202">
        <f t="shared" si="31"/>
        <v>0</v>
      </c>
      <c r="AC112" s="104">
        <f>IF(Q112=-$D$35,+(SUM(AB$7:AB111)-SUM(AB113:AB$114))/(Q112+$D$35+0.0001),+(SUM(AB$7:AB111)-SUM(AB113:AB$114))/(Q112+$D$35))</f>
        <v>7103.475682407181</v>
      </c>
      <c r="AD112" s="104">
        <f>IF(ABS(AC112)&lt;Y112,SUM(Y$7:Y111)-AC112-SUM(Y113:Y$114),0)</f>
        <v>0</v>
      </c>
      <c r="AF112" s="21">
        <f t="shared" si="51"/>
        <v>104</v>
      </c>
      <c r="AG112" s="117">
        <f t="shared" si="36"/>
        <v>2.1666666666666665</v>
      </c>
      <c r="AH112" s="115">
        <f>SUM(Y$7:Y111)-SUM(Y112:Y$124)</f>
        <v>15661.614723397628</v>
      </c>
      <c r="AI112" s="115">
        <f>-SUM(Z$7:Z111)+SUM(Z112:Z$124)</f>
        <v>-578253.9036741485</v>
      </c>
      <c r="AJ112" s="115">
        <f t="shared" si="43"/>
        <v>-15661.614723397628</v>
      </c>
      <c r="AK112" s="115">
        <f t="shared" si="44"/>
        <v>578253.9036741485</v>
      </c>
      <c r="AL112" s="104">
        <f t="shared" si="37"/>
        <v>-36.92172958451516</v>
      </c>
    </row>
    <row r="113" spans="16:38" ht="15.75" customHeight="1">
      <c r="P113" s="21">
        <f t="shared" si="45"/>
        <v>107</v>
      </c>
      <c r="Q113" s="21">
        <f t="shared" si="45"/>
        <v>106.5</v>
      </c>
      <c r="R113" s="21">
        <v>6</v>
      </c>
      <c r="S113" s="27">
        <f t="shared" si="46"/>
        <v>0</v>
      </c>
      <c r="T113" s="27">
        <f t="shared" si="47"/>
        <v>0</v>
      </c>
      <c r="U113" s="27">
        <f t="shared" si="39"/>
        <v>0</v>
      </c>
      <c r="V113" s="27">
        <f t="shared" si="40"/>
        <v>0</v>
      </c>
      <c r="W113" s="116">
        <f t="shared" si="48"/>
        <v>0</v>
      </c>
      <c r="X113" s="116">
        <f>'Soil Profile'!N143</f>
        <v>10.29805000000003</v>
      </c>
      <c r="Y113" s="104">
        <f t="shared" si="49"/>
        <v>0</v>
      </c>
      <c r="Z113" s="206">
        <f t="shared" si="50"/>
        <v>0</v>
      </c>
      <c r="AA113" s="208"/>
      <c r="AB113" s="202">
        <f t="shared" si="31"/>
        <v>0</v>
      </c>
      <c r="AC113" s="104">
        <f>IF(Q113=-$D$35,+(SUM(AB$7:AB112)-SUM(AB114:AB$114))/(Q113+$D$35+0.0001),+(SUM(AB$7:AB112)-SUM(AB114:AB$114))/(Q113+$D$35))</f>
        <v>7047.321724443487</v>
      </c>
      <c r="AD113" s="104">
        <f>IF(ABS(AC113)&lt;Y113,SUM(Y$7:Y112)-AC113-SUM(Y114:Y$114),0)</f>
        <v>0</v>
      </c>
      <c r="AF113" s="21">
        <f t="shared" si="51"/>
        <v>105</v>
      </c>
      <c r="AG113" s="117">
        <f t="shared" si="36"/>
        <v>2.1875</v>
      </c>
      <c r="AH113" s="115">
        <f>SUM(Y$7:Y112)-SUM(Y113:Y$124)</f>
        <v>15661.614723397628</v>
      </c>
      <c r="AI113" s="115">
        <f>-SUM(Z$7:Z112)+SUM(Z113:Z$124)</f>
        <v>-578253.9036741485</v>
      </c>
      <c r="AJ113" s="115">
        <f t="shared" si="43"/>
        <v>-15661.614723397628</v>
      </c>
      <c r="AK113" s="115">
        <f t="shared" si="44"/>
        <v>578253.9036741485</v>
      </c>
      <c r="AL113" s="104">
        <f t="shared" si="37"/>
        <v>-36.92172958451516</v>
      </c>
    </row>
    <row r="114" spans="16:38" ht="15.75" customHeight="1">
      <c r="P114" s="21">
        <f t="shared" si="45"/>
        <v>108</v>
      </c>
      <c r="Q114" s="21">
        <f t="shared" si="45"/>
        <v>107.5</v>
      </c>
      <c r="R114" s="21">
        <v>7</v>
      </c>
      <c r="S114" s="27">
        <f t="shared" si="46"/>
        <v>0</v>
      </c>
      <c r="T114" s="27">
        <f t="shared" si="47"/>
        <v>0</v>
      </c>
      <c r="U114" s="27">
        <f t="shared" si="39"/>
        <v>0</v>
      </c>
      <c r="V114" s="27">
        <f t="shared" si="40"/>
        <v>0</v>
      </c>
      <c r="W114" s="116">
        <f t="shared" si="48"/>
        <v>0</v>
      </c>
      <c r="X114" s="116">
        <f>'Soil Profile'!N144</f>
        <v>10.189750000000032</v>
      </c>
      <c r="Y114" s="104">
        <f t="shared" si="49"/>
        <v>0</v>
      </c>
      <c r="Z114" s="206">
        <f t="shared" si="50"/>
        <v>0</v>
      </c>
      <c r="AA114" s="208"/>
      <c r="AB114" s="202">
        <f t="shared" si="31"/>
        <v>0</v>
      </c>
      <c r="AC114" s="104">
        <f>IF(Q114=-$D$35,+(SUM(AB$7:AB113)-SUM(AB$114:AB115))/(Q114+$D$35+0.0001),+(SUM(AB$7:AB113)-SUM(AB$114:AB115))/(Q114+$D$35))</f>
        <v>6992.0486128792245</v>
      </c>
      <c r="AD114" s="104">
        <f>IF(ABS(AC114)&lt;Y114,SUM(Y$7:Y113)-AC114-SUM(Y$114:Y115),0)</f>
        <v>0</v>
      </c>
      <c r="AF114" s="21">
        <f t="shared" si="51"/>
        <v>106</v>
      </c>
      <c r="AG114" s="117">
        <f t="shared" si="36"/>
        <v>2.2083333333333335</v>
      </c>
      <c r="AH114" s="115">
        <f>SUM(Y$7:Y113)-SUM(Y114:Y$124)</f>
        <v>15661.614723397628</v>
      </c>
      <c r="AI114" s="115">
        <f>-SUM(Z$7:Z113)+SUM(Z114:Z$124)</f>
        <v>-578253.9036741485</v>
      </c>
      <c r="AJ114" s="115">
        <f t="shared" si="43"/>
        <v>-15661.614723397628</v>
      </c>
      <c r="AK114" s="115">
        <f t="shared" si="44"/>
        <v>578253.9036741485</v>
      </c>
      <c r="AL114" s="104">
        <f t="shared" si="37"/>
        <v>-36.92172958451516</v>
      </c>
    </row>
    <row r="115" spans="30:38" ht="15.75" customHeight="1">
      <c r="AD115" s="104">
        <f>SUM(AD7:AD114)</f>
        <v>1694.111603014635</v>
      </c>
      <c r="AF115" s="21">
        <f t="shared" si="51"/>
        <v>107</v>
      </c>
      <c r="AG115" s="117">
        <f t="shared" si="36"/>
        <v>2.2291666666666665</v>
      </c>
      <c r="AH115" s="115">
        <f>SUM(Y$7:Y114)-SUM(Y115:Y$124)</f>
        <v>15661.614723397628</v>
      </c>
      <c r="AI115" s="115">
        <f>-SUM(Z$7:Z114)+SUM(Z115:Z$124)</f>
        <v>-578253.9036741485</v>
      </c>
      <c r="AJ115" s="115">
        <f t="shared" si="43"/>
        <v>-15661.614723397628</v>
      </c>
      <c r="AK115" s="115">
        <f t="shared" si="44"/>
        <v>578253.9036741485</v>
      </c>
      <c r="AL115" s="104">
        <f t="shared" si="37"/>
        <v>-36.92172958451516</v>
      </c>
    </row>
    <row r="116" spans="33:37" ht="15.75" customHeight="1">
      <c r="AG116" s="196"/>
      <c r="AH116" s="17"/>
      <c r="AI116" s="17"/>
      <c r="AJ116" s="17"/>
      <c r="AK116" s="17"/>
    </row>
    <row r="117" spans="33:37" ht="15.75" customHeight="1">
      <c r="AG117" s="196"/>
      <c r="AH117" s="17"/>
      <c r="AI117" s="17"/>
      <c r="AJ117" s="17"/>
      <c r="AK117" s="17"/>
    </row>
    <row r="118" spans="33:37" ht="15.75" customHeight="1">
      <c r="AG118" s="196"/>
      <c r="AH118" s="17"/>
      <c r="AI118" s="17"/>
      <c r="AJ118" s="17"/>
      <c r="AK118" s="17"/>
    </row>
    <row r="119" spans="33:37" ht="15.75" customHeight="1">
      <c r="AG119" s="196"/>
      <c r="AH119" s="17"/>
      <c r="AI119" s="17"/>
      <c r="AJ119" s="17"/>
      <c r="AK119" s="17"/>
    </row>
    <row r="120" spans="33:37" ht="12.75">
      <c r="AG120" s="196"/>
      <c r="AH120" s="17"/>
      <c r="AI120" s="17"/>
      <c r="AJ120" s="17"/>
      <c r="AK120" s="17"/>
    </row>
    <row r="121" spans="33:37" ht="12.75">
      <c r="AG121" s="196"/>
      <c r="AH121" s="17"/>
      <c r="AI121" s="17"/>
      <c r="AJ121" s="17"/>
      <c r="AK121" s="17"/>
    </row>
    <row r="122" spans="33:37" ht="12.75">
      <c r="AG122" s="196"/>
      <c r="AH122" s="17"/>
      <c r="AI122" s="17"/>
      <c r="AJ122" s="17"/>
      <c r="AK122" s="17"/>
    </row>
    <row r="123" spans="33:37" ht="12.75">
      <c r="AG123" s="196"/>
      <c r="AH123" s="17"/>
      <c r="AI123" s="17"/>
      <c r="AJ123" s="17"/>
      <c r="AK123" s="17"/>
    </row>
    <row r="124" spans="33:38" ht="12.75">
      <c r="AG124" s="196"/>
      <c r="AH124" s="17"/>
      <c r="AI124" s="17"/>
      <c r="AJ124" s="17"/>
      <c r="AK124" s="17"/>
      <c r="AL124" s="16"/>
    </row>
    <row r="125" spans="33:38" ht="12.75">
      <c r="AG125" s="196"/>
      <c r="AH125" s="17"/>
      <c r="AI125" s="17"/>
      <c r="AJ125" s="17"/>
      <c r="AK125" s="17"/>
      <c r="AL125" s="16"/>
    </row>
    <row r="126" spans="33:38" ht="12.75">
      <c r="AG126" s="196"/>
      <c r="AH126" s="17"/>
      <c r="AI126" s="17"/>
      <c r="AJ126" s="17"/>
      <c r="AK126" s="17"/>
      <c r="AL126" s="16"/>
    </row>
    <row r="127" spans="33:38" ht="12.75">
      <c r="AG127" s="196"/>
      <c r="AH127" s="17"/>
      <c r="AI127" s="17"/>
      <c r="AJ127" s="17"/>
      <c r="AK127" s="17"/>
      <c r="AL127" s="16"/>
    </row>
    <row r="128" spans="33:38" ht="12.75">
      <c r="AG128" s="196"/>
      <c r="AH128" s="17"/>
      <c r="AI128" s="17"/>
      <c r="AJ128" s="17"/>
      <c r="AK128" s="17"/>
      <c r="AL128" s="16"/>
    </row>
    <row r="129" spans="33:38" ht="12.75">
      <c r="AG129" s="196"/>
      <c r="AH129" s="17"/>
      <c r="AI129" s="17"/>
      <c r="AJ129" s="17"/>
      <c r="AK129" s="17"/>
      <c r="AL129" s="16"/>
    </row>
    <row r="130" spans="33:38" ht="12.75">
      <c r="AG130" s="196"/>
      <c r="AH130" s="17"/>
      <c r="AI130" s="17"/>
      <c r="AJ130" s="17"/>
      <c r="AK130" s="17"/>
      <c r="AL130" s="16"/>
    </row>
    <row r="131" spans="33:38" ht="12.75">
      <c r="AG131" s="196"/>
      <c r="AH131" s="17"/>
      <c r="AI131" s="17"/>
      <c r="AJ131" s="17"/>
      <c r="AK131" s="17"/>
      <c r="AL131" s="16"/>
    </row>
    <row r="132" spans="33:38" ht="12.75">
      <c r="AG132" s="196"/>
      <c r="AH132" s="17"/>
      <c r="AI132" s="17"/>
      <c r="AJ132" s="17"/>
      <c r="AK132" s="17"/>
      <c r="AL132" s="16"/>
    </row>
    <row r="133" spans="33:38" ht="12.75">
      <c r="AG133" s="196"/>
      <c r="AH133" s="17"/>
      <c r="AI133" s="17"/>
      <c r="AJ133" s="17"/>
      <c r="AK133" s="17"/>
      <c r="AL133" s="16"/>
    </row>
    <row r="134" spans="33:38" ht="12.75">
      <c r="AG134" s="196"/>
      <c r="AH134" s="17"/>
      <c r="AI134" s="17"/>
      <c r="AJ134" s="17"/>
      <c r="AK134" s="17"/>
      <c r="AL134" s="16"/>
    </row>
    <row r="135" spans="33:38" ht="12.75">
      <c r="AG135" s="196"/>
      <c r="AH135" s="17"/>
      <c r="AI135" s="17"/>
      <c r="AJ135" s="17"/>
      <c r="AK135" s="17"/>
      <c r="AL135" s="16"/>
    </row>
    <row r="136" spans="33:38" ht="12.75">
      <c r="AG136" s="196"/>
      <c r="AH136" s="17"/>
      <c r="AI136" s="17"/>
      <c r="AJ136" s="17"/>
      <c r="AK136" s="17"/>
      <c r="AL136" s="16"/>
    </row>
    <row r="137" spans="33:38" ht="12.75">
      <c r="AG137" s="196"/>
      <c r="AH137" s="17"/>
      <c r="AI137" s="17"/>
      <c r="AJ137" s="17"/>
      <c r="AK137" s="17"/>
      <c r="AL137" s="16"/>
    </row>
    <row r="138" spans="33:38" ht="12.75">
      <c r="AG138" s="196"/>
      <c r="AH138" s="17"/>
      <c r="AI138" s="17"/>
      <c r="AJ138" s="17"/>
      <c r="AK138" s="17"/>
      <c r="AL138" s="16"/>
    </row>
    <row r="139" spans="33:38" ht="12.75">
      <c r="AG139" s="196"/>
      <c r="AH139" s="17"/>
      <c r="AI139" s="17"/>
      <c r="AJ139" s="17"/>
      <c r="AK139" s="17"/>
      <c r="AL139" s="16"/>
    </row>
    <row r="140" spans="33:38" ht="12.75">
      <c r="AG140" s="196"/>
      <c r="AH140" s="17"/>
      <c r="AI140" s="17"/>
      <c r="AJ140" s="17"/>
      <c r="AK140" s="17"/>
      <c r="AL140" s="16"/>
    </row>
    <row r="141" spans="33:38" ht="12.75">
      <c r="AG141" s="196"/>
      <c r="AH141" s="17"/>
      <c r="AI141" s="17"/>
      <c r="AJ141" s="17"/>
      <c r="AK141" s="17"/>
      <c r="AL141" s="16"/>
    </row>
    <row r="142" spans="33:38" ht="12.75">
      <c r="AG142" s="196"/>
      <c r="AH142" s="17"/>
      <c r="AI142" s="17"/>
      <c r="AJ142" s="17"/>
      <c r="AK142" s="17"/>
      <c r="AL142" s="16"/>
    </row>
    <row r="143" spans="33:38" ht="12.75">
      <c r="AG143" s="196"/>
      <c r="AH143" s="17"/>
      <c r="AI143" s="17"/>
      <c r="AJ143" s="17"/>
      <c r="AK143" s="17"/>
      <c r="AL143" s="16"/>
    </row>
    <row r="144" spans="33:36" ht="12.75">
      <c r="AG144" s="196"/>
      <c r="AH144" s="17"/>
      <c r="AI144" s="17"/>
      <c r="AJ144" s="17"/>
    </row>
    <row r="145" spans="33:36" ht="12.75">
      <c r="AG145" s="196"/>
      <c r="AH145" s="17"/>
      <c r="AI145" s="17"/>
      <c r="AJ145" s="17"/>
    </row>
    <row r="146" spans="33:36" ht="12.75">
      <c r="AG146" s="196"/>
      <c r="AH146" s="17"/>
      <c r="AI146" s="17"/>
      <c r="AJ146" s="17"/>
    </row>
    <row r="147" spans="33:36" ht="12.75">
      <c r="AG147" s="196"/>
      <c r="AH147" s="17"/>
      <c r="AI147" s="17"/>
      <c r="AJ147" s="17"/>
    </row>
    <row r="148" spans="33:36" ht="12.75">
      <c r="AG148" s="196"/>
      <c r="AH148" s="17"/>
      <c r="AI148" s="17"/>
      <c r="AJ148" s="17"/>
    </row>
    <row r="149" spans="33:36" ht="12.75">
      <c r="AG149" s="196"/>
      <c r="AH149" s="17"/>
      <c r="AI149" s="17"/>
      <c r="AJ149" s="17"/>
    </row>
    <row r="150" spans="33:36" ht="12.75">
      <c r="AG150" s="196"/>
      <c r="AH150" s="17"/>
      <c r="AI150" s="17"/>
      <c r="AJ150" s="17"/>
    </row>
    <row r="151" spans="33:36" ht="12.75">
      <c r="AG151" s="196"/>
      <c r="AH151" s="17"/>
      <c r="AI151" s="17"/>
      <c r="AJ151" s="17"/>
    </row>
    <row r="152" spans="33:36" ht="12.75">
      <c r="AG152" s="196"/>
      <c r="AH152" s="17"/>
      <c r="AI152" s="17"/>
      <c r="AJ152" s="17"/>
    </row>
    <row r="153" spans="33:36" ht="12.75">
      <c r="AG153" s="196"/>
      <c r="AH153" s="17"/>
      <c r="AI153" s="17"/>
      <c r="AJ153" s="17"/>
    </row>
    <row r="154" spans="33:36" ht="12.75">
      <c r="AG154" s="196"/>
      <c r="AH154" s="17"/>
      <c r="AI154" s="17"/>
      <c r="AJ154" s="17"/>
    </row>
    <row r="155" spans="33:36" ht="12.75">
      <c r="AG155" s="196"/>
      <c r="AH155" s="17"/>
      <c r="AI155" s="17"/>
      <c r="AJ155" s="17"/>
    </row>
    <row r="156" spans="33:36" ht="12.75">
      <c r="AG156" s="196"/>
      <c r="AH156" s="17"/>
      <c r="AI156" s="17"/>
      <c r="AJ156" s="17"/>
    </row>
    <row r="157" spans="33:36" ht="12.75">
      <c r="AG157" s="196"/>
      <c r="AH157" s="17"/>
      <c r="AI157" s="17"/>
      <c r="AJ157" s="17"/>
    </row>
    <row r="158" spans="33:36" ht="12.75">
      <c r="AG158" s="196"/>
      <c r="AH158" s="17"/>
      <c r="AI158" s="17"/>
      <c r="AJ158" s="17"/>
    </row>
    <row r="159" spans="33:36" ht="12.75">
      <c r="AG159" s="196"/>
      <c r="AH159" s="17"/>
      <c r="AI159" s="17"/>
      <c r="AJ159" s="17"/>
    </row>
    <row r="160" spans="33:36" ht="12.75">
      <c r="AG160" s="196"/>
      <c r="AH160" s="17"/>
      <c r="AI160" s="17"/>
      <c r="AJ160" s="17"/>
    </row>
    <row r="161" spans="33:36" ht="12.75">
      <c r="AG161" s="196"/>
      <c r="AH161" s="17"/>
      <c r="AI161" s="17"/>
      <c r="AJ161" s="17"/>
    </row>
    <row r="162" spans="33:36" ht="12.75">
      <c r="AG162" s="196"/>
      <c r="AH162" s="17"/>
      <c r="AI162" s="17"/>
      <c r="AJ162" s="17"/>
    </row>
    <row r="163" spans="33:36" ht="12.75">
      <c r="AG163" s="196"/>
      <c r="AH163" s="17"/>
      <c r="AI163" s="17"/>
      <c r="AJ163" s="17"/>
    </row>
    <row r="164" spans="33:36" ht="12.75">
      <c r="AG164" s="196"/>
      <c r="AH164" s="17"/>
      <c r="AI164" s="17"/>
      <c r="AJ164" s="17"/>
    </row>
    <row r="165" spans="33:36" ht="12.75">
      <c r="AG165" s="196"/>
      <c r="AH165" s="17"/>
      <c r="AI165" s="17"/>
      <c r="AJ165" s="17"/>
    </row>
    <row r="166" spans="33:36" ht="12.75">
      <c r="AG166" s="196"/>
      <c r="AH166" s="17"/>
      <c r="AI166" s="17"/>
      <c r="AJ166" s="17"/>
    </row>
    <row r="167" spans="33:36" ht="12.75">
      <c r="AG167" s="196"/>
      <c r="AH167" s="17"/>
      <c r="AI167" s="17"/>
      <c r="AJ167" s="17"/>
    </row>
    <row r="168" spans="33:36" ht="12.75">
      <c r="AG168" s="196"/>
      <c r="AH168" s="17"/>
      <c r="AI168" s="17"/>
      <c r="AJ168" s="17"/>
    </row>
    <row r="169" spans="33:36" ht="12.75">
      <c r="AG169" s="196"/>
      <c r="AH169" s="17"/>
      <c r="AI169" s="17"/>
      <c r="AJ169" s="17"/>
    </row>
    <row r="170" spans="33:36" ht="12.75">
      <c r="AG170" s="196"/>
      <c r="AH170" s="17"/>
      <c r="AI170" s="17"/>
      <c r="AJ170" s="17"/>
    </row>
    <row r="171" spans="33:36" ht="12.75">
      <c r="AG171" s="196"/>
      <c r="AH171" s="17"/>
      <c r="AI171" s="17"/>
      <c r="AJ171" s="17"/>
    </row>
    <row r="172" spans="33:36" ht="12.75">
      <c r="AG172" s="196"/>
      <c r="AH172" s="17"/>
      <c r="AI172" s="17"/>
      <c r="AJ172" s="17"/>
    </row>
    <row r="173" spans="33:36" ht="12.75">
      <c r="AG173" s="196"/>
      <c r="AH173" s="17"/>
      <c r="AI173" s="17"/>
      <c r="AJ173" s="17"/>
    </row>
    <row r="174" spans="33:36" ht="12.75">
      <c r="AG174" s="196"/>
      <c r="AH174" s="17"/>
      <c r="AI174" s="17"/>
      <c r="AJ174" s="17"/>
    </row>
    <row r="175" spans="33:36" ht="12.75">
      <c r="AG175" s="196"/>
      <c r="AH175" s="17"/>
      <c r="AI175" s="17"/>
      <c r="AJ175" s="17"/>
    </row>
    <row r="176" spans="33:36" ht="12.75">
      <c r="AG176" s="196"/>
      <c r="AH176" s="17"/>
      <c r="AI176" s="17"/>
      <c r="AJ176" s="17"/>
    </row>
    <row r="177" spans="33:36" ht="12.75">
      <c r="AG177" s="196"/>
      <c r="AH177" s="17"/>
      <c r="AI177" s="17"/>
      <c r="AJ177" s="17"/>
    </row>
    <row r="178" spans="33:36" ht="12.75">
      <c r="AG178" s="196"/>
      <c r="AH178" s="17"/>
      <c r="AI178" s="17"/>
      <c r="AJ178" s="17"/>
    </row>
    <row r="179" spans="33:36" ht="12.75">
      <c r="AG179" s="196"/>
      <c r="AH179" s="17"/>
      <c r="AI179" s="17"/>
      <c r="AJ179" s="17"/>
    </row>
    <row r="180" spans="33:36" ht="12.75">
      <c r="AG180" s="196"/>
      <c r="AH180" s="17"/>
      <c r="AI180" s="17"/>
      <c r="AJ180" s="17"/>
    </row>
    <row r="181" spans="33:36" ht="12.75">
      <c r="AG181" s="196"/>
      <c r="AH181" s="17"/>
      <c r="AI181" s="17"/>
      <c r="AJ181" s="17"/>
    </row>
    <row r="182" spans="33:36" ht="12.75">
      <c r="AG182" s="196"/>
      <c r="AH182" s="17"/>
      <c r="AI182" s="17"/>
      <c r="AJ182" s="17"/>
    </row>
    <row r="183" spans="33:36" ht="12.75">
      <c r="AG183" s="196"/>
      <c r="AH183" s="17"/>
      <c r="AI183" s="17"/>
      <c r="AJ183" s="17"/>
    </row>
    <row r="184" spans="33:36" ht="12.75">
      <c r="AG184" s="196"/>
      <c r="AH184" s="17"/>
      <c r="AI184" s="17"/>
      <c r="AJ184" s="17"/>
    </row>
    <row r="185" spans="33:36" ht="12.75">
      <c r="AG185" s="196"/>
      <c r="AH185" s="17"/>
      <c r="AI185" s="17"/>
      <c r="AJ185" s="17"/>
    </row>
    <row r="186" spans="33:36" ht="12.75">
      <c r="AG186" s="196"/>
      <c r="AH186" s="17"/>
      <c r="AI186" s="17"/>
      <c r="AJ186" s="17"/>
    </row>
    <row r="187" spans="33:36" ht="12.75">
      <c r="AG187" s="196"/>
      <c r="AH187" s="17"/>
      <c r="AI187" s="17"/>
      <c r="AJ187" s="17"/>
    </row>
    <row r="188" spans="33:36" ht="12.75">
      <c r="AG188" s="196"/>
      <c r="AH188" s="17"/>
      <c r="AI188" s="17"/>
      <c r="AJ188" s="17"/>
    </row>
    <row r="189" spans="33:36" ht="12.75">
      <c r="AG189" s="196"/>
      <c r="AH189" s="17"/>
      <c r="AI189" s="17"/>
      <c r="AJ189" s="17"/>
    </row>
    <row r="190" spans="33:36" ht="12.75">
      <c r="AG190" s="196"/>
      <c r="AH190" s="17"/>
      <c r="AI190" s="17"/>
      <c r="AJ190" s="17"/>
    </row>
    <row r="191" spans="33:36" ht="12.75">
      <c r="AG191" s="196"/>
      <c r="AH191" s="17"/>
      <c r="AI191" s="17"/>
      <c r="AJ191" s="17"/>
    </row>
    <row r="192" spans="33:36" ht="12.75">
      <c r="AG192" s="196"/>
      <c r="AH192" s="17"/>
      <c r="AI192" s="17"/>
      <c r="AJ192" s="17"/>
    </row>
    <row r="193" spans="33:36" ht="12.75">
      <c r="AG193" s="196"/>
      <c r="AH193" s="17"/>
      <c r="AI193" s="17"/>
      <c r="AJ193" s="17"/>
    </row>
    <row r="194" spans="33:36" ht="12.75">
      <c r="AG194" s="196"/>
      <c r="AH194" s="17"/>
      <c r="AI194" s="17"/>
      <c r="AJ194" s="17"/>
    </row>
    <row r="195" spans="33:36" ht="12.75">
      <c r="AG195" s="196"/>
      <c r="AH195" s="17"/>
      <c r="AI195" s="17"/>
      <c r="AJ195" s="17"/>
    </row>
    <row r="196" spans="33:36" ht="12.75">
      <c r="AG196" s="196"/>
      <c r="AH196" s="17"/>
      <c r="AI196" s="17"/>
      <c r="AJ196" s="17"/>
    </row>
    <row r="197" spans="33:36" ht="12.75">
      <c r="AG197" s="196"/>
      <c r="AH197" s="17"/>
      <c r="AI197" s="17"/>
      <c r="AJ197" s="17"/>
    </row>
    <row r="198" spans="33:36" ht="12.75">
      <c r="AG198" s="196"/>
      <c r="AH198" s="17"/>
      <c r="AI198" s="17"/>
      <c r="AJ198" s="17"/>
    </row>
    <row r="199" spans="33:36" ht="12.75">
      <c r="AG199" s="196"/>
      <c r="AH199" s="17"/>
      <c r="AI199" s="17"/>
      <c r="AJ199" s="17"/>
    </row>
    <row r="200" spans="33:36" ht="12.75">
      <c r="AG200" s="196"/>
      <c r="AH200" s="17"/>
      <c r="AI200" s="17"/>
      <c r="AJ200" s="17"/>
    </row>
    <row r="201" spans="33:36" ht="12.75">
      <c r="AG201" s="196"/>
      <c r="AH201" s="17"/>
      <c r="AI201" s="17"/>
      <c r="AJ201" s="17"/>
    </row>
    <row r="202" spans="33:36" ht="12.75">
      <c r="AG202" s="196"/>
      <c r="AH202" s="17"/>
      <c r="AI202" s="17"/>
      <c r="AJ202" s="17"/>
    </row>
    <row r="203" spans="33:36" ht="12.75">
      <c r="AG203" s="196"/>
      <c r="AH203" s="17"/>
      <c r="AI203" s="17"/>
      <c r="AJ203" s="17"/>
    </row>
    <row r="204" spans="33:36" ht="12.75">
      <c r="AG204" s="196"/>
      <c r="AH204" s="17"/>
      <c r="AI204" s="17"/>
      <c r="AJ204" s="17"/>
    </row>
    <row r="205" spans="33:36" ht="12.75">
      <c r="AG205" s="196"/>
      <c r="AH205" s="17"/>
      <c r="AI205" s="17"/>
      <c r="AJ205" s="17"/>
    </row>
    <row r="206" spans="33:36" ht="12.75">
      <c r="AG206" s="196"/>
      <c r="AH206" s="17"/>
      <c r="AI206" s="17"/>
      <c r="AJ206" s="17"/>
    </row>
    <row r="207" spans="33:36" ht="12.75">
      <c r="AG207" s="196"/>
      <c r="AH207" s="17"/>
      <c r="AI207" s="17"/>
      <c r="AJ207" s="17"/>
    </row>
    <row r="208" spans="33:36" ht="12.75">
      <c r="AG208" s="196"/>
      <c r="AH208" s="17"/>
      <c r="AI208" s="17"/>
      <c r="AJ208" s="17"/>
    </row>
    <row r="209" spans="33:36" ht="12.75">
      <c r="AG209" s="196"/>
      <c r="AH209" s="17"/>
      <c r="AI209" s="17"/>
      <c r="AJ209" s="17"/>
    </row>
    <row r="210" spans="33:36" ht="12.75">
      <c r="AG210" s="196"/>
      <c r="AH210" s="17"/>
      <c r="AI210" s="17"/>
      <c r="AJ210" s="17"/>
    </row>
    <row r="211" spans="33:36" ht="12.75">
      <c r="AG211" s="196"/>
      <c r="AH211" s="17"/>
      <c r="AI211" s="17"/>
      <c r="AJ211" s="17"/>
    </row>
    <row r="212" spans="33:36" ht="12.75">
      <c r="AG212" s="196"/>
      <c r="AH212" s="17"/>
      <c r="AI212" s="17"/>
      <c r="AJ212" s="17"/>
    </row>
    <row r="213" spans="33:36" ht="12.75">
      <c r="AG213" s="196"/>
      <c r="AH213" s="17"/>
      <c r="AI213" s="17"/>
      <c r="AJ213" s="17"/>
    </row>
    <row r="214" spans="33:36" ht="12.75">
      <c r="AG214" s="196"/>
      <c r="AH214" s="17"/>
      <c r="AI214" s="17"/>
      <c r="AJ214" s="17"/>
    </row>
    <row r="215" spans="33:36" ht="12.75">
      <c r="AG215" s="196"/>
      <c r="AH215" s="17"/>
      <c r="AI215" s="17"/>
      <c r="AJ215" s="17"/>
    </row>
    <row r="216" spans="33:36" ht="12.75">
      <c r="AG216" s="196"/>
      <c r="AH216" s="17"/>
      <c r="AI216" s="17"/>
      <c r="AJ216" s="17"/>
    </row>
    <row r="217" spans="33:36" ht="12.75">
      <c r="AG217" s="196"/>
      <c r="AH217" s="17"/>
      <c r="AI217" s="17"/>
      <c r="AJ217" s="17"/>
    </row>
    <row r="218" spans="33:36" ht="12.75">
      <c r="AG218" s="196"/>
      <c r="AH218" s="17"/>
      <c r="AI218" s="17"/>
      <c r="AJ218" s="17"/>
    </row>
    <row r="219" spans="33:36" ht="12.75">
      <c r="AG219" s="196"/>
      <c r="AH219" s="17"/>
      <c r="AI219" s="17"/>
      <c r="AJ219" s="17"/>
    </row>
    <row r="220" spans="33:36" ht="12.75">
      <c r="AG220" s="196"/>
      <c r="AH220" s="17"/>
      <c r="AI220" s="17"/>
      <c r="AJ220" s="17"/>
    </row>
    <row r="221" spans="33:36" ht="12.75">
      <c r="AG221" s="196"/>
      <c r="AH221" s="17"/>
      <c r="AI221" s="17"/>
      <c r="AJ221" s="17"/>
    </row>
    <row r="222" spans="33:36" ht="12.75">
      <c r="AG222" s="196"/>
      <c r="AH222" s="17"/>
      <c r="AI222" s="17"/>
      <c r="AJ222" s="17"/>
    </row>
    <row r="223" spans="33:36" ht="12.75">
      <c r="AG223" s="196"/>
      <c r="AH223" s="17"/>
      <c r="AI223" s="17"/>
      <c r="AJ223" s="17"/>
    </row>
    <row r="224" spans="33:36" ht="12.75">
      <c r="AG224" s="196"/>
      <c r="AH224" s="17"/>
      <c r="AI224" s="17"/>
      <c r="AJ224" s="17"/>
    </row>
    <row r="225" spans="33:36" ht="12.75">
      <c r="AG225" s="196"/>
      <c r="AH225" s="17"/>
      <c r="AI225" s="17"/>
      <c r="AJ225" s="17"/>
    </row>
    <row r="226" spans="33:36" ht="12.75">
      <c r="AG226" s="196"/>
      <c r="AH226" s="17"/>
      <c r="AI226" s="17"/>
      <c r="AJ226" s="17"/>
    </row>
    <row r="227" spans="33:36" ht="12.75">
      <c r="AG227" s="196"/>
      <c r="AH227" s="17"/>
      <c r="AI227" s="17"/>
      <c r="AJ227" s="17"/>
    </row>
    <row r="228" spans="33:36" ht="12.75">
      <c r="AG228" s="196"/>
      <c r="AH228" s="17"/>
      <c r="AI228" s="17"/>
      <c r="AJ228" s="17"/>
    </row>
    <row r="229" spans="33:36" ht="12.75">
      <c r="AG229" s="196"/>
      <c r="AH229" s="17"/>
      <c r="AI229" s="17"/>
      <c r="AJ229" s="17"/>
    </row>
  </sheetData>
  <sheetProtection sheet="1" objects="1" scenarios="1" selectLockedCells="1"/>
  <mergeCells count="77">
    <mergeCell ref="A26:A29"/>
    <mergeCell ref="E26:E27"/>
    <mergeCell ref="A39:C39"/>
    <mergeCell ref="A4:E4"/>
    <mergeCell ref="A8:A11"/>
    <mergeCell ref="B10:B11"/>
    <mergeCell ref="E8:E9"/>
    <mergeCell ref="A15:A17"/>
    <mergeCell ref="E15:E17"/>
    <mergeCell ref="A18:E18"/>
    <mergeCell ref="G2:N2"/>
    <mergeCell ref="C10:C11"/>
    <mergeCell ref="D10:D11"/>
    <mergeCell ref="E10:E11"/>
    <mergeCell ref="M4:N4"/>
    <mergeCell ref="A3:E3"/>
    <mergeCell ref="A6:A7"/>
    <mergeCell ref="I4:K4"/>
    <mergeCell ref="G4:G8"/>
    <mergeCell ref="H4:H8"/>
    <mergeCell ref="AB3:AB5"/>
    <mergeCell ref="T3:T5"/>
    <mergeCell ref="L16:M16"/>
    <mergeCell ref="AJ3:AK3"/>
    <mergeCell ref="AI4:AI6"/>
    <mergeCell ref="AK4:AK6"/>
    <mergeCell ref="V3:V5"/>
    <mergeCell ref="U3:U5"/>
    <mergeCell ref="P3:P6"/>
    <mergeCell ref="Y3:Y5"/>
    <mergeCell ref="L5:N6"/>
    <mergeCell ref="Z3:Z5"/>
    <mergeCell ref="R3:R5"/>
    <mergeCell ref="Q3:Q5"/>
    <mergeCell ref="X3:X5"/>
    <mergeCell ref="W3:W5"/>
    <mergeCell ref="S3:S5"/>
    <mergeCell ref="L21:M21"/>
    <mergeCell ref="I20:J20"/>
    <mergeCell ref="L20:M20"/>
    <mergeCell ref="I15:J15"/>
    <mergeCell ref="L18:M18"/>
    <mergeCell ref="I19:J19"/>
    <mergeCell ref="L19:M19"/>
    <mergeCell ref="I17:J17"/>
    <mergeCell ref="L17:M17"/>
    <mergeCell ref="L15:M15"/>
    <mergeCell ref="E22:E23"/>
    <mergeCell ref="A22:A25"/>
    <mergeCell ref="I14:J14"/>
    <mergeCell ref="I21:J21"/>
    <mergeCell ref="I18:J18"/>
    <mergeCell ref="A12:A14"/>
    <mergeCell ref="E12:E14"/>
    <mergeCell ref="G15:G21"/>
    <mergeCell ref="G9:G14"/>
    <mergeCell ref="I16:J16"/>
    <mergeCell ref="AL3:AL6"/>
    <mergeCell ref="P2:Y2"/>
    <mergeCell ref="AB2:AD2"/>
    <mergeCell ref="AC3:AC4"/>
    <mergeCell ref="AD3:AD4"/>
    <mergeCell ref="AF2:AL2"/>
    <mergeCell ref="AJ4:AJ6"/>
    <mergeCell ref="AH3:AI3"/>
    <mergeCell ref="AF3:AF6"/>
    <mergeCell ref="AG3:AG6"/>
    <mergeCell ref="G22:N22"/>
    <mergeCell ref="G23:N23"/>
    <mergeCell ref="G24:N24"/>
    <mergeCell ref="AH4:AH6"/>
    <mergeCell ref="I5:K6"/>
    <mergeCell ref="L7:M8"/>
    <mergeCell ref="N7:N8"/>
    <mergeCell ref="L14:M14"/>
    <mergeCell ref="I7:J8"/>
    <mergeCell ref="K7:K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N158"/>
  <sheetViews>
    <sheetView workbookViewId="0" topLeftCell="E1">
      <selection activeCell="E9" sqref="E9"/>
    </sheetView>
  </sheetViews>
  <sheetFormatPr defaultColWidth="9.140625" defaultRowHeight="12.75"/>
  <cols>
    <col min="1" max="1" width="11.421875" style="0" customWidth="1"/>
    <col min="2" max="2" width="65.140625" style="4" customWidth="1"/>
    <col min="3" max="3" width="50.8515625" style="4" customWidth="1"/>
    <col min="4" max="4" width="16.140625" style="4" customWidth="1"/>
    <col min="5" max="5" width="14.421875" style="4" customWidth="1"/>
    <col min="6" max="6" width="9.140625" style="7" customWidth="1"/>
    <col min="7" max="7" width="18.28125" style="7" customWidth="1"/>
    <col min="8" max="8" width="32.8515625" style="7" customWidth="1"/>
    <col min="9" max="9" width="56.7109375" style="7" customWidth="1"/>
    <col min="10" max="10" width="17.7109375" style="7" customWidth="1"/>
    <col min="11" max="11" width="6.28125" style="7" customWidth="1"/>
    <col min="12" max="12" width="8.140625" style="7" customWidth="1"/>
    <col min="13" max="13" width="19.28125" style="7" customWidth="1"/>
    <col min="14" max="14" width="6.57421875" style="7" customWidth="1"/>
    <col min="15" max="15" width="7.7109375" style="7" customWidth="1"/>
  </cols>
  <sheetData>
    <row r="1" spans="7:15" ht="12.75">
      <c r="G1"/>
      <c r="H1"/>
      <c r="I1"/>
      <c r="J1"/>
      <c r="K1"/>
      <c r="L1"/>
      <c r="M1"/>
      <c r="N1"/>
      <c r="O1"/>
    </row>
    <row r="2" spans="1:15" ht="18">
      <c r="A2" s="248" t="s">
        <v>268</v>
      </c>
      <c r="B2" s="248"/>
      <c r="C2" s="248"/>
      <c r="D2" s="248"/>
      <c r="E2" s="248"/>
      <c r="F2"/>
      <c r="G2" s="64" t="s">
        <v>345</v>
      </c>
      <c r="H2" s="65"/>
      <c r="I2" s="65"/>
      <c r="J2" s="66"/>
      <c r="K2" s="66"/>
      <c r="L2" s="66"/>
      <c r="M2" s="66"/>
      <c r="N2" s="66"/>
      <c r="O2" s="66"/>
    </row>
    <row r="3" spans="1:15" ht="15.75" customHeight="1">
      <c r="A3" s="488" t="s">
        <v>269</v>
      </c>
      <c r="B3" s="488"/>
      <c r="C3" s="488"/>
      <c r="D3" s="488"/>
      <c r="E3" s="488"/>
      <c r="G3"/>
      <c r="H3"/>
      <c r="I3"/>
      <c r="J3"/>
      <c r="K3"/>
      <c r="L3"/>
      <c r="M3"/>
      <c r="N3"/>
      <c r="O3"/>
    </row>
    <row r="4" spans="1:15" ht="15.75" customHeight="1">
      <c r="A4" s="493" t="s">
        <v>270</v>
      </c>
      <c r="B4" s="494"/>
      <c r="C4" s="494"/>
      <c r="D4" s="494"/>
      <c r="E4" s="494"/>
      <c r="G4" s="398" t="s">
        <v>547</v>
      </c>
      <c r="H4" s="398" t="s">
        <v>441</v>
      </c>
      <c r="I4" s="398" t="s">
        <v>442</v>
      </c>
      <c r="J4" s="480" t="s">
        <v>443</v>
      </c>
      <c r="K4" s="505"/>
      <c r="L4" s="505"/>
      <c r="M4" s="96">
        <f>$E$11</f>
        <v>35</v>
      </c>
      <c r="N4" s="67"/>
      <c r="O4" s="68"/>
    </row>
    <row r="5" spans="1:15" ht="15" customHeight="1">
      <c r="A5" s="489" t="s">
        <v>672</v>
      </c>
      <c r="B5" s="490"/>
      <c r="C5" s="490"/>
      <c r="D5" s="490"/>
      <c r="E5" s="490"/>
      <c r="G5" s="313"/>
      <c r="H5" s="313"/>
      <c r="I5" s="313"/>
      <c r="J5" s="398" t="s">
        <v>346</v>
      </c>
      <c r="K5" s="398"/>
      <c r="L5" s="312"/>
      <c r="M5" s="398" t="s">
        <v>347</v>
      </c>
      <c r="N5" s="313"/>
      <c r="O5" s="313"/>
    </row>
    <row r="6" spans="1:15" ht="32.25" customHeight="1">
      <c r="A6" s="489" t="s">
        <v>297</v>
      </c>
      <c r="B6" s="490"/>
      <c r="C6" s="490"/>
      <c r="D6" s="490"/>
      <c r="E6" s="490"/>
      <c r="G6" s="313"/>
      <c r="H6" s="313"/>
      <c r="I6" s="313"/>
      <c r="J6" s="357"/>
      <c r="K6" s="357"/>
      <c r="L6" s="357"/>
      <c r="M6" s="357"/>
      <c r="N6" s="357"/>
      <c r="O6" s="357"/>
    </row>
    <row r="7" spans="1:15" ht="15.75" customHeight="1">
      <c r="A7" s="491" t="s">
        <v>293</v>
      </c>
      <c r="B7" s="492"/>
      <c r="C7" s="492"/>
      <c r="D7" s="492"/>
      <c r="E7" s="492"/>
      <c r="G7" s="357"/>
      <c r="H7" s="357"/>
      <c r="I7" s="357"/>
      <c r="J7" s="398" t="s">
        <v>486</v>
      </c>
      <c r="K7" s="501"/>
      <c r="L7" s="327" t="s">
        <v>437</v>
      </c>
      <c r="M7" s="398" t="s">
        <v>486</v>
      </c>
      <c r="N7" s="501"/>
      <c r="O7" s="327" t="s">
        <v>438</v>
      </c>
    </row>
    <row r="8" spans="1:40" ht="15.75" customHeight="1">
      <c r="A8" s="51" t="s">
        <v>27</v>
      </c>
      <c r="B8" s="51" t="s">
        <v>578</v>
      </c>
      <c r="C8" s="51" t="s">
        <v>236</v>
      </c>
      <c r="D8" s="51" t="s">
        <v>496</v>
      </c>
      <c r="E8" s="51" t="s">
        <v>504</v>
      </c>
      <c r="F8" s="141"/>
      <c r="G8" s="357"/>
      <c r="H8" s="357"/>
      <c r="I8" s="357"/>
      <c r="J8" s="501"/>
      <c r="K8" s="501"/>
      <c r="L8" s="501"/>
      <c r="M8" s="501"/>
      <c r="N8" s="501"/>
      <c r="O8" s="501"/>
      <c r="Q8" s="28"/>
      <c r="R8" s="28"/>
      <c r="S8" s="28"/>
      <c r="T8" s="28"/>
      <c r="U8" s="28"/>
      <c r="V8" s="28"/>
      <c r="W8" s="28"/>
      <c r="X8" s="28"/>
      <c r="Y8" s="28"/>
      <c r="Z8" s="28"/>
      <c r="AA8" s="28"/>
      <c r="AB8" s="28"/>
      <c r="AC8" s="28"/>
      <c r="AD8" s="28"/>
      <c r="AE8" s="28"/>
      <c r="AF8" s="28"/>
      <c r="AG8" s="28"/>
      <c r="AH8" s="28"/>
      <c r="AI8" s="28"/>
      <c r="AJ8" s="28"/>
      <c r="AK8" s="28"/>
      <c r="AL8" s="28"/>
      <c r="AM8" s="28"/>
      <c r="AN8" s="28"/>
    </row>
    <row r="9" spans="1:40" ht="15.75" customHeight="1">
      <c r="A9" s="47" t="s">
        <v>31</v>
      </c>
      <c r="B9" s="114" t="s">
        <v>281</v>
      </c>
      <c r="C9" s="112"/>
      <c r="D9" s="20" t="s">
        <v>33</v>
      </c>
      <c r="E9" s="144">
        <v>4.5</v>
      </c>
      <c r="F9" s="141"/>
      <c r="G9" s="502" t="s">
        <v>548</v>
      </c>
      <c r="H9" s="502" t="s">
        <v>342</v>
      </c>
      <c r="I9" s="157" t="s">
        <v>563</v>
      </c>
      <c r="J9" s="249" t="s">
        <v>353</v>
      </c>
      <c r="K9" s="135">
        <f>IF((0.86-0.01*M$4)&gt;0.93,0.93,(0.86-0.01*M$4))</f>
        <v>0.51</v>
      </c>
      <c r="L9" s="158">
        <f>IF((K9*1.25)&gt;0.93,0.93,(K9*1.25))</f>
        <v>0.6375</v>
      </c>
      <c r="M9" s="249" t="s">
        <v>354</v>
      </c>
      <c r="N9" s="159">
        <f aca="true" t="shared" si="0" ref="N9:O13">1.4/K9</f>
        <v>2.745098039215686</v>
      </c>
      <c r="O9" s="116">
        <f t="shared" si="0"/>
        <v>2.196078431372549</v>
      </c>
      <c r="Q9" s="28"/>
      <c r="R9" s="28"/>
      <c r="S9" s="28"/>
      <c r="T9" s="28"/>
      <c r="U9" s="28"/>
      <c r="V9" s="28"/>
      <c r="W9" s="28"/>
      <c r="X9" s="28"/>
      <c r="Y9" s="28"/>
      <c r="Z9" s="28"/>
      <c r="AA9" s="28"/>
      <c r="AB9" s="28"/>
      <c r="AC9" s="28"/>
      <c r="AD9" s="28"/>
      <c r="AE9" s="28"/>
      <c r="AF9" s="28"/>
      <c r="AG9" s="28"/>
      <c r="AH9" s="28"/>
      <c r="AI9" s="28"/>
      <c r="AJ9" s="28"/>
      <c r="AK9" s="28"/>
      <c r="AL9" s="28"/>
      <c r="AM9" s="28"/>
      <c r="AN9" s="28"/>
    </row>
    <row r="10" spans="1:40" ht="15.75" customHeight="1">
      <c r="A10" s="47" t="s">
        <v>32</v>
      </c>
      <c r="B10" s="114" t="s">
        <v>282</v>
      </c>
      <c r="C10" s="46"/>
      <c r="D10" s="20" t="s">
        <v>33</v>
      </c>
      <c r="E10" s="144">
        <v>60</v>
      </c>
      <c r="F10" s="141"/>
      <c r="G10" s="502"/>
      <c r="H10" s="502"/>
      <c r="I10" s="157" t="s">
        <v>564</v>
      </c>
      <c r="J10" s="249" t="s">
        <v>349</v>
      </c>
      <c r="K10" s="136">
        <f>IF((0.66-0.01*M$4)&gt;0.93,0.93,(0.66-0.01*M$4))</f>
        <v>0.31</v>
      </c>
      <c r="L10" s="158">
        <f>IF((K10*1.25)&gt;0.93,0.93,(K10*1.25))</f>
        <v>0.3875</v>
      </c>
      <c r="M10" s="249" t="s">
        <v>355</v>
      </c>
      <c r="N10" s="159">
        <f t="shared" si="0"/>
        <v>4.516129032258064</v>
      </c>
      <c r="O10" s="116">
        <f t="shared" si="0"/>
        <v>3.612903225806451</v>
      </c>
      <c r="Q10" s="28"/>
      <c r="R10" s="28"/>
      <c r="S10" s="28"/>
      <c r="T10" s="28"/>
      <c r="U10" s="28"/>
      <c r="V10" s="28"/>
      <c r="W10" s="28"/>
      <c r="X10" s="28"/>
      <c r="Y10" s="28"/>
      <c r="Z10" s="28"/>
      <c r="AA10" s="28"/>
      <c r="AB10" s="28"/>
      <c r="AC10" s="28"/>
      <c r="AD10" s="28"/>
      <c r="AE10" s="28"/>
      <c r="AF10" s="28"/>
      <c r="AG10" s="28"/>
      <c r="AH10" s="28"/>
      <c r="AI10" s="28"/>
      <c r="AJ10" s="28"/>
      <c r="AK10" s="28"/>
      <c r="AL10" s="28"/>
      <c r="AM10" s="28"/>
      <c r="AN10" s="28"/>
    </row>
    <row r="11" spans="1:40" ht="15.75" customHeight="1">
      <c r="A11" s="49" t="s">
        <v>93</v>
      </c>
      <c r="B11" s="46" t="s">
        <v>279</v>
      </c>
      <c r="C11" s="145" t="s">
        <v>234</v>
      </c>
      <c r="D11" s="20" t="s">
        <v>25</v>
      </c>
      <c r="E11" s="144">
        <v>35</v>
      </c>
      <c r="F11" s="141"/>
      <c r="G11" s="502"/>
      <c r="H11" s="502"/>
      <c r="I11" s="157" t="s">
        <v>565</v>
      </c>
      <c r="J11" s="249" t="s">
        <v>350</v>
      </c>
      <c r="K11" s="136">
        <f>IF((0.767-0.01*M$4)&gt;0.93,0.93,(0.76-0.01*M$4))</f>
        <v>0.41</v>
      </c>
      <c r="L11" s="158">
        <f>IF((K11*1.25)&gt;0.93,0.93,(K11*1.25))</f>
        <v>0.5125</v>
      </c>
      <c r="M11" s="249" t="s">
        <v>356</v>
      </c>
      <c r="N11" s="159">
        <f t="shared" si="0"/>
        <v>3.4146341463414633</v>
      </c>
      <c r="O11" s="116">
        <f t="shared" si="0"/>
        <v>2.731707317073171</v>
      </c>
      <c r="Q11" s="28"/>
      <c r="R11" s="28"/>
      <c r="S11" s="28"/>
      <c r="T11" s="28"/>
      <c r="U11" s="28"/>
      <c r="V11" s="28"/>
      <c r="W11" s="28"/>
      <c r="X11" s="28"/>
      <c r="Y11" s="28"/>
      <c r="Z11" s="28"/>
      <c r="AA11" s="28"/>
      <c r="AB11" s="28"/>
      <c r="AC11" s="28"/>
      <c r="AD11" s="28"/>
      <c r="AE11" s="28"/>
      <c r="AF11" s="28"/>
      <c r="AG11" s="28"/>
      <c r="AH11" s="28"/>
      <c r="AI11" s="28"/>
      <c r="AJ11" s="28"/>
      <c r="AK11" s="28"/>
      <c r="AL11" s="28"/>
      <c r="AM11" s="28"/>
      <c r="AN11" s="28"/>
    </row>
    <row r="12" spans="1:40" ht="15.75" customHeight="1">
      <c r="A12" s="147" t="s">
        <v>35</v>
      </c>
      <c r="B12" s="114" t="s">
        <v>283</v>
      </c>
      <c r="C12" s="33" t="s">
        <v>235</v>
      </c>
      <c r="D12" s="20" t="s">
        <v>107</v>
      </c>
      <c r="E12" s="144">
        <v>135</v>
      </c>
      <c r="F12" s="141"/>
      <c r="G12" s="502"/>
      <c r="H12" s="502" t="s">
        <v>343</v>
      </c>
      <c r="I12" s="157" t="s">
        <v>673</v>
      </c>
      <c r="J12" s="249" t="s">
        <v>351</v>
      </c>
      <c r="K12" s="136">
        <f>IF((0.61-0.01*M$4)&gt;0.93,0.93,(0.61-0.01*M$4))</f>
        <v>0.25999999999999995</v>
      </c>
      <c r="L12" s="158">
        <f>IF((K12*1.25)&gt;0.93,0.93,(K12*1.25))</f>
        <v>0.32499999999999996</v>
      </c>
      <c r="M12" s="249" t="s">
        <v>357</v>
      </c>
      <c r="N12" s="159">
        <f t="shared" si="0"/>
        <v>5.384615384615385</v>
      </c>
      <c r="O12" s="116">
        <f t="shared" si="0"/>
        <v>4.307692307692308</v>
      </c>
      <c r="Q12" s="28"/>
      <c r="R12" s="28"/>
      <c r="S12" s="28"/>
      <c r="T12" s="28"/>
      <c r="U12" s="28"/>
      <c r="V12" s="28"/>
      <c r="W12" s="28"/>
      <c r="X12" s="28"/>
      <c r="Y12" s="28"/>
      <c r="Z12" s="28"/>
      <c r="AA12" s="28"/>
      <c r="AB12" s="28"/>
      <c r="AC12" s="28"/>
      <c r="AD12" s="28"/>
      <c r="AE12" s="28"/>
      <c r="AF12" s="28"/>
      <c r="AG12" s="28"/>
      <c r="AH12" s="28"/>
      <c r="AI12" s="28"/>
      <c r="AJ12" s="28"/>
      <c r="AK12" s="28"/>
      <c r="AL12" s="28"/>
      <c r="AM12" s="28"/>
      <c r="AN12" s="28"/>
    </row>
    <row r="13" spans="1:40" s="7" customFormat="1" ht="15.75" customHeight="1">
      <c r="A13" s="47" t="s">
        <v>50</v>
      </c>
      <c r="B13" s="145" t="s">
        <v>284</v>
      </c>
      <c r="C13" s="145" t="s">
        <v>234</v>
      </c>
      <c r="D13" s="20" t="s">
        <v>147</v>
      </c>
      <c r="E13" s="149">
        <v>0</v>
      </c>
      <c r="F13" s="141"/>
      <c r="G13" s="502"/>
      <c r="H13" s="502"/>
      <c r="I13" s="157" t="s">
        <v>674</v>
      </c>
      <c r="J13" s="249" t="s">
        <v>352</v>
      </c>
      <c r="K13" s="136">
        <f>IF((0.82-0.01*M$4)&gt;0.93,0.93,(0.82-0.01*M$4))</f>
        <v>0.4699999999999999</v>
      </c>
      <c r="L13" s="158">
        <f>IF((K13*1.25)&gt;0.93,0.93,(K13*1.25))</f>
        <v>0.5874999999999999</v>
      </c>
      <c r="M13" s="249" t="s">
        <v>358</v>
      </c>
      <c r="N13" s="159">
        <f t="shared" si="0"/>
        <v>2.9787234042553195</v>
      </c>
      <c r="O13" s="116">
        <f t="shared" si="0"/>
        <v>2.3829787234042556</v>
      </c>
      <c r="P13"/>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row>
    <row r="14" spans="1:40" ht="15.75" customHeight="1">
      <c r="A14" s="47" t="s">
        <v>132</v>
      </c>
      <c r="B14" s="46" t="s">
        <v>280</v>
      </c>
      <c r="C14" s="46" t="s">
        <v>233</v>
      </c>
      <c r="D14" s="20" t="s">
        <v>147</v>
      </c>
      <c r="E14" s="148">
        <v>0</v>
      </c>
      <c r="F14" s="141"/>
      <c r="G14" s="507" t="s">
        <v>556</v>
      </c>
      <c r="H14" s="502" t="s">
        <v>348</v>
      </c>
      <c r="I14" s="157" t="s">
        <v>566</v>
      </c>
      <c r="J14" s="397">
        <v>0.68</v>
      </c>
      <c r="K14" s="509"/>
      <c r="L14" s="41">
        <f aca="true" t="shared" si="1" ref="L14:L19">+J14*1.25</f>
        <v>0.8500000000000001</v>
      </c>
      <c r="M14" s="510">
        <v>2.1</v>
      </c>
      <c r="N14" s="510"/>
      <c r="O14" s="160">
        <f aca="true" t="shared" si="2" ref="O14:O19">+M14*0.8</f>
        <v>1.6800000000000002</v>
      </c>
      <c r="Q14" s="28"/>
      <c r="R14" s="28"/>
      <c r="S14" s="28"/>
      <c r="T14" s="28"/>
      <c r="U14" s="28"/>
      <c r="V14" s="28"/>
      <c r="W14" s="28"/>
      <c r="X14" s="28"/>
      <c r="Y14" s="28"/>
      <c r="Z14" s="28"/>
      <c r="AA14" s="28"/>
      <c r="AB14" s="28"/>
      <c r="AC14" s="28"/>
      <c r="AD14" s="28"/>
      <c r="AE14" s="28"/>
      <c r="AF14" s="28"/>
      <c r="AG14" s="28"/>
      <c r="AH14" s="28"/>
      <c r="AI14" s="28"/>
      <c r="AJ14" s="28"/>
      <c r="AK14" s="28"/>
      <c r="AL14" s="28"/>
      <c r="AM14" s="28"/>
      <c r="AN14" s="28"/>
    </row>
    <row r="15" spans="1:16" s="33" customFormat="1" ht="15.75" customHeight="1">
      <c r="A15" s="50"/>
      <c r="B15" s="46" t="s">
        <v>335</v>
      </c>
      <c r="C15" s="33" t="s">
        <v>315</v>
      </c>
      <c r="D15" s="20" t="s">
        <v>526</v>
      </c>
      <c r="E15" s="118">
        <v>0</v>
      </c>
      <c r="F15" s="142"/>
      <c r="G15" s="508"/>
      <c r="H15" s="502"/>
      <c r="I15" s="157" t="s">
        <v>567</v>
      </c>
      <c r="J15" s="397">
        <v>0.68</v>
      </c>
      <c r="K15" s="509"/>
      <c r="L15" s="41">
        <f t="shared" si="1"/>
        <v>0.8500000000000001</v>
      </c>
      <c r="M15" s="510">
        <v>2.1</v>
      </c>
      <c r="N15" s="510"/>
      <c r="O15" s="160">
        <f t="shared" si="2"/>
        <v>1.6800000000000002</v>
      </c>
      <c r="P15"/>
    </row>
    <row r="16" spans="1:40" ht="15.75" customHeight="1">
      <c r="A16" s="47" t="s">
        <v>271</v>
      </c>
      <c r="B16" s="48" t="s">
        <v>273</v>
      </c>
      <c r="C16" s="46" t="s">
        <v>237</v>
      </c>
      <c r="D16" s="20" t="s">
        <v>29</v>
      </c>
      <c r="E16" s="144">
        <v>500</v>
      </c>
      <c r="F16" s="141"/>
      <c r="G16" s="508"/>
      <c r="H16" s="502"/>
      <c r="I16" s="157" t="s">
        <v>568</v>
      </c>
      <c r="J16" s="397">
        <v>0.68</v>
      </c>
      <c r="K16" s="397"/>
      <c r="L16" s="41">
        <f t="shared" si="1"/>
        <v>0.8500000000000001</v>
      </c>
      <c r="M16" s="510">
        <v>2.1</v>
      </c>
      <c r="N16" s="510"/>
      <c r="O16" s="160">
        <f t="shared" si="2"/>
        <v>1.6800000000000002</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row>
    <row r="17" spans="1:40" ht="15.75" customHeight="1">
      <c r="A17" s="47" t="s">
        <v>68</v>
      </c>
      <c r="B17" s="145" t="s">
        <v>275</v>
      </c>
      <c r="C17" s="145" t="s">
        <v>237</v>
      </c>
      <c r="D17" s="26" t="s">
        <v>511</v>
      </c>
      <c r="E17" s="144">
        <v>10000</v>
      </c>
      <c r="F17" s="141"/>
      <c r="G17" s="508"/>
      <c r="H17" s="502"/>
      <c r="I17" s="157" t="s">
        <v>569</v>
      </c>
      <c r="J17" s="397">
        <v>0.68</v>
      </c>
      <c r="K17" s="397"/>
      <c r="L17" s="41">
        <f t="shared" si="1"/>
        <v>0.8500000000000001</v>
      </c>
      <c r="M17" s="510">
        <v>2.1</v>
      </c>
      <c r="N17" s="510"/>
      <c r="O17" s="160">
        <f t="shared" si="2"/>
        <v>1.6800000000000002</v>
      </c>
      <c r="Q17" s="28"/>
      <c r="R17" s="28"/>
      <c r="S17" s="28"/>
      <c r="T17" s="28"/>
      <c r="U17" s="28"/>
      <c r="V17" s="28"/>
      <c r="W17" s="28"/>
      <c r="X17" s="28"/>
      <c r="Y17" s="28"/>
      <c r="Z17" s="28"/>
      <c r="AA17" s="28"/>
      <c r="AB17" s="28"/>
      <c r="AC17" s="28"/>
      <c r="AD17" s="28"/>
      <c r="AE17" s="28"/>
      <c r="AF17" s="28"/>
      <c r="AG17" s="28"/>
      <c r="AH17" s="28"/>
      <c r="AI17" s="28"/>
      <c r="AJ17" s="28"/>
      <c r="AK17" s="28"/>
      <c r="AL17" s="28"/>
      <c r="AM17" s="28"/>
      <c r="AN17" s="28"/>
    </row>
    <row r="18" spans="1:40" ht="15.75" customHeight="1">
      <c r="A18" s="47" t="s">
        <v>62</v>
      </c>
      <c r="B18" s="114" t="s">
        <v>278</v>
      </c>
      <c r="C18" s="46" t="s">
        <v>238</v>
      </c>
      <c r="D18" s="20" t="s">
        <v>30</v>
      </c>
      <c r="E18" s="149">
        <v>2.38</v>
      </c>
      <c r="F18" s="141"/>
      <c r="G18" s="508"/>
      <c r="H18" s="502" t="s">
        <v>344</v>
      </c>
      <c r="I18" s="157" t="s">
        <v>673</v>
      </c>
      <c r="J18" s="397">
        <v>0.44</v>
      </c>
      <c r="K18" s="397"/>
      <c r="L18" s="41">
        <f t="shared" si="1"/>
        <v>0.55</v>
      </c>
      <c r="M18" s="510">
        <v>3.2</v>
      </c>
      <c r="N18" s="510"/>
      <c r="O18" s="160">
        <f t="shared" si="2"/>
        <v>2.5600000000000005</v>
      </c>
      <c r="Q18" s="28"/>
      <c r="R18" s="28"/>
      <c r="S18" s="28"/>
      <c r="T18" s="28"/>
      <c r="U18" s="28"/>
      <c r="V18" s="28"/>
      <c r="W18" s="28"/>
      <c r="X18" s="28"/>
      <c r="Y18" s="28"/>
      <c r="Z18" s="28"/>
      <c r="AA18" s="28"/>
      <c r="AB18" s="28"/>
      <c r="AC18" s="28"/>
      <c r="AD18" s="28"/>
      <c r="AE18" s="28"/>
      <c r="AF18" s="28"/>
      <c r="AG18" s="28"/>
      <c r="AH18" s="28"/>
      <c r="AI18" s="28"/>
      <c r="AJ18" s="28"/>
      <c r="AK18" s="28"/>
      <c r="AL18" s="28"/>
      <c r="AM18" s="28"/>
      <c r="AN18" s="28"/>
    </row>
    <row r="19" spans="1:40" ht="15.75" customHeight="1">
      <c r="A19" s="47" t="s">
        <v>272</v>
      </c>
      <c r="B19" s="48" t="s">
        <v>274</v>
      </c>
      <c r="C19" s="46" t="s">
        <v>239</v>
      </c>
      <c r="D19" s="20" t="s">
        <v>29</v>
      </c>
      <c r="E19" s="144">
        <v>0</v>
      </c>
      <c r="F19" s="141"/>
      <c r="G19" s="508"/>
      <c r="H19" s="502"/>
      <c r="I19" s="157" t="s">
        <v>674</v>
      </c>
      <c r="J19" s="397">
        <v>0.68</v>
      </c>
      <c r="K19" s="397"/>
      <c r="L19" s="41">
        <f t="shared" si="1"/>
        <v>0.8500000000000001</v>
      </c>
      <c r="M19" s="510">
        <v>2.1</v>
      </c>
      <c r="N19" s="510"/>
      <c r="O19" s="160">
        <f t="shared" si="2"/>
        <v>1.6800000000000002</v>
      </c>
      <c r="Q19" s="28"/>
      <c r="R19" s="28"/>
      <c r="S19" s="28"/>
      <c r="T19" s="28"/>
      <c r="U19" s="28"/>
      <c r="V19" s="28"/>
      <c r="W19" s="28"/>
      <c r="X19" s="28"/>
      <c r="Y19" s="28"/>
      <c r="Z19" s="28"/>
      <c r="AA19" s="28"/>
      <c r="AB19" s="28"/>
      <c r="AC19" s="28"/>
      <c r="AD19" s="28"/>
      <c r="AE19" s="28"/>
      <c r="AF19" s="28"/>
      <c r="AG19" s="28"/>
      <c r="AH19" s="28"/>
      <c r="AI19" s="28"/>
      <c r="AJ19" s="28"/>
      <c r="AK19" s="28"/>
      <c r="AL19" s="28"/>
      <c r="AM19" s="28"/>
      <c r="AN19" s="28"/>
    </row>
    <row r="20" spans="1:40" ht="15.75" customHeight="1">
      <c r="A20" s="47" t="s">
        <v>69</v>
      </c>
      <c r="B20" s="145" t="s">
        <v>276</v>
      </c>
      <c r="C20" s="145" t="s">
        <v>239</v>
      </c>
      <c r="D20" s="26" t="s">
        <v>511</v>
      </c>
      <c r="E20" s="144">
        <v>0</v>
      </c>
      <c r="F20" s="141"/>
      <c r="G20" s="503" t="s">
        <v>406</v>
      </c>
      <c r="H20" s="504"/>
      <c r="I20" s="504"/>
      <c r="J20" s="504"/>
      <c r="K20" s="504"/>
      <c r="L20" s="504"/>
      <c r="M20" s="504"/>
      <c r="N20" s="504"/>
      <c r="O20" s="504"/>
      <c r="Q20" s="28"/>
      <c r="R20" s="28"/>
      <c r="S20" s="28"/>
      <c r="T20" s="28"/>
      <c r="U20" s="28"/>
      <c r="V20" s="28"/>
      <c r="W20" s="28"/>
      <c r="X20" s="28"/>
      <c r="Y20" s="28"/>
      <c r="Z20" s="28"/>
      <c r="AA20" s="28"/>
      <c r="AB20" s="28"/>
      <c r="AC20" s="28"/>
      <c r="AD20" s="28"/>
      <c r="AE20" s="28"/>
      <c r="AF20" s="28"/>
      <c r="AG20" s="28"/>
      <c r="AH20" s="28"/>
      <c r="AI20" s="28"/>
      <c r="AJ20" s="28"/>
      <c r="AK20" s="28"/>
      <c r="AL20" s="28"/>
      <c r="AM20" s="28"/>
      <c r="AN20" s="28"/>
    </row>
    <row r="21" spans="1:40" ht="15.75" customHeight="1">
      <c r="A21" s="47" t="s">
        <v>84</v>
      </c>
      <c r="B21" s="48" t="s">
        <v>277</v>
      </c>
      <c r="C21" s="46" t="s">
        <v>240</v>
      </c>
      <c r="D21" s="20" t="s">
        <v>30</v>
      </c>
      <c r="E21" s="52">
        <v>0</v>
      </c>
      <c r="F21" s="141"/>
      <c r="G21" s="512" t="s">
        <v>359</v>
      </c>
      <c r="H21" s="512"/>
      <c r="I21" s="512"/>
      <c r="J21" s="512"/>
      <c r="K21" s="512"/>
      <c r="L21" s="513"/>
      <c r="M21" s="513"/>
      <c r="N21" s="513"/>
      <c r="O21" s="513"/>
      <c r="Q21" s="28"/>
      <c r="R21" s="28"/>
      <c r="S21" s="28"/>
      <c r="T21" s="28"/>
      <c r="U21" s="28"/>
      <c r="V21" s="28"/>
      <c r="W21" s="28"/>
      <c r="X21" s="28"/>
      <c r="Y21" s="28"/>
      <c r="Z21" s="28"/>
      <c r="AA21" s="28"/>
      <c r="AB21" s="28"/>
      <c r="AC21" s="28"/>
      <c r="AD21" s="28"/>
      <c r="AE21" s="28"/>
      <c r="AF21" s="28"/>
      <c r="AG21" s="28"/>
      <c r="AH21" s="28"/>
      <c r="AI21" s="28"/>
      <c r="AJ21" s="28"/>
      <c r="AK21" s="28"/>
      <c r="AL21" s="28"/>
      <c r="AM21" s="28"/>
      <c r="AN21" s="28"/>
    </row>
    <row r="22" spans="1:40" ht="15.75" customHeight="1">
      <c r="A22" s="47" t="s">
        <v>287</v>
      </c>
      <c r="B22" s="114" t="s">
        <v>285</v>
      </c>
      <c r="C22" s="50" t="s">
        <v>286</v>
      </c>
      <c r="D22" s="20" t="s">
        <v>509</v>
      </c>
      <c r="E22" s="150">
        <f>IF(ABS(E16)&gt;0.01,E16*E18,IF(ABS(E19)&gt;0.01,E19/E21,0))</f>
        <v>1190</v>
      </c>
      <c r="F22" s="141"/>
      <c r="G22" s="506" t="s">
        <v>360</v>
      </c>
      <c r="H22" s="410"/>
      <c r="I22" s="410"/>
      <c r="J22" s="410"/>
      <c r="K22" s="410"/>
      <c r="L22" s="410"/>
      <c r="M22" s="410"/>
      <c r="N22" s="410"/>
      <c r="O22" s="410"/>
      <c r="Q22" s="28"/>
      <c r="R22" s="28"/>
      <c r="S22" s="28"/>
      <c r="T22" s="28"/>
      <c r="U22" s="28"/>
      <c r="V22" s="28"/>
      <c r="W22" s="28"/>
      <c r="X22" s="28"/>
      <c r="Y22" s="28"/>
      <c r="Z22" s="28"/>
      <c r="AA22" s="28"/>
      <c r="AB22" s="28"/>
      <c r="AC22" s="28"/>
      <c r="AD22" s="28"/>
      <c r="AE22" s="28"/>
      <c r="AF22" s="28"/>
      <c r="AG22" s="28"/>
      <c r="AH22" s="28"/>
      <c r="AI22" s="28"/>
      <c r="AJ22" s="28"/>
      <c r="AK22" s="28"/>
      <c r="AL22" s="28"/>
      <c r="AM22" s="28"/>
      <c r="AN22" s="28"/>
    </row>
    <row r="23" spans="1:40" ht="15.75" customHeight="1">
      <c r="A23" s="47" t="s">
        <v>288</v>
      </c>
      <c r="B23" s="114" t="s">
        <v>289</v>
      </c>
      <c r="C23" s="46" t="s">
        <v>290</v>
      </c>
      <c r="D23" s="20" t="s">
        <v>30</v>
      </c>
      <c r="E23" s="151">
        <f>IF(E14&lt;0.001,(1+SIN(E11*3.1416/180))/(1-SIN(E11*3.1416/180)),"NA")</f>
        <v>3.6901852022987227</v>
      </c>
      <c r="F23" s="141"/>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row>
    <row r="24" spans="1:40" ht="15.75" customHeight="1">
      <c r="A24" s="47" t="s">
        <v>90</v>
      </c>
      <c r="B24" s="114" t="s">
        <v>291</v>
      </c>
      <c r="C24" s="46" t="s">
        <v>292</v>
      </c>
      <c r="D24" s="20" t="s">
        <v>94</v>
      </c>
      <c r="E24" s="151">
        <f>IF(E14&lt;0.001,3*E9*E23*E12/1728,"NA")</f>
        <v>3.8919922055494345</v>
      </c>
      <c r="F24" s="141"/>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row>
    <row r="25" spans="1:40" ht="15.75" customHeight="1">
      <c r="A25" s="47" t="s">
        <v>296</v>
      </c>
      <c r="B25" s="114" t="s">
        <v>295</v>
      </c>
      <c r="C25" s="46" t="s">
        <v>294</v>
      </c>
      <c r="D25" s="20" t="s">
        <v>497</v>
      </c>
      <c r="E25" s="151">
        <f>IF(E14&lt;0.0001,IF(E12&gt;0.01,2*E13/(E23^0.5*E12/1728),0),"NA")</f>
        <v>0</v>
      </c>
      <c r="F25" s="141"/>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row>
    <row r="26" spans="1:40" ht="15.75" customHeight="1">
      <c r="A26" s="495" t="s">
        <v>57</v>
      </c>
      <c r="B26" s="114" t="s">
        <v>305</v>
      </c>
      <c r="C26" s="145" t="s">
        <v>307</v>
      </c>
      <c r="D26" s="97" t="s">
        <v>497</v>
      </c>
      <c r="E26" s="152">
        <f>IF(E15&gt;0.01,0,(IF(E14&lt;0.001,+(E25^2+E22/E24+E10*E25+E10^2/2+E25*E9/2)^0.5-E25,"NA")))</f>
        <v>45.88851716951058</v>
      </c>
      <c r="F26" s="141"/>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row>
    <row r="27" spans="1:40" ht="15.75" customHeight="1">
      <c r="A27" s="496"/>
      <c r="B27" s="114" t="s">
        <v>309</v>
      </c>
      <c r="C27" s="145" t="s">
        <v>308</v>
      </c>
      <c r="D27" s="97" t="s">
        <v>497</v>
      </c>
      <c r="E27" s="152" t="str">
        <f>IF(E15&gt;0.01,0,(IF(E14&gt;0.001,(64*E9^2+4*E22/(3*E14)+12*E9*E10)^0.5-8*E9,"NA")))</f>
        <v>NA</v>
      </c>
      <c r="F27" s="141"/>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row>
    <row r="28" spans="1:40" ht="15.75" customHeight="1">
      <c r="A28" s="496"/>
      <c r="B28" s="114" t="s">
        <v>310</v>
      </c>
      <c r="C28" s="50" t="s">
        <v>306</v>
      </c>
      <c r="D28" s="97" t="s">
        <v>497</v>
      </c>
      <c r="E28" s="152" t="str">
        <f>IF(E15&gt;0.01,0,(IF(E14&gt;0.001,E22/(18*E9*E14)+E10/2+2*E9/3,"NA")))</f>
        <v>NA</v>
      </c>
      <c r="F28" s="141"/>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row>
    <row r="29" spans="1:40" ht="15.75" customHeight="1">
      <c r="A29" s="497"/>
      <c r="B29" s="114" t="s">
        <v>317</v>
      </c>
      <c r="C29" s="145" t="s">
        <v>316</v>
      </c>
      <c r="D29" s="97" t="s">
        <v>497</v>
      </c>
      <c r="E29" s="152" t="str">
        <f>IF(E15&gt;0.01,0,IF(E14&gt;0.001,IF(4*E9&gt;E27,E27,E28),"NA"))</f>
        <v>NA</v>
      </c>
      <c r="F29" s="141"/>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row>
    <row r="30" spans="1:40" ht="15.75" customHeight="1">
      <c r="A30" s="47" t="s">
        <v>319</v>
      </c>
      <c r="B30" s="114" t="s">
        <v>320</v>
      </c>
      <c r="C30" s="50" t="s">
        <v>319</v>
      </c>
      <c r="D30" s="20" t="s">
        <v>30</v>
      </c>
      <c r="E30" s="153">
        <f>+IF(E14&lt;0.001,E26/E10,E29/E10)</f>
        <v>0.764808619491843</v>
      </c>
      <c r="F30" s="141"/>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row>
    <row r="31" spans="1:40" ht="15.75" customHeight="1">
      <c r="A31" s="511" t="s">
        <v>323</v>
      </c>
      <c r="B31" s="114" t="s">
        <v>321</v>
      </c>
      <c r="C31" s="46"/>
      <c r="D31" s="20" t="s">
        <v>511</v>
      </c>
      <c r="E31" s="115">
        <f>MAX(E32:E38)</f>
        <v>29501.247134199675</v>
      </c>
      <c r="F31" s="141"/>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row>
    <row r="32" spans="1:40" ht="15.75" customHeight="1">
      <c r="A32" s="307"/>
      <c r="B32" s="114" t="s">
        <v>298</v>
      </c>
      <c r="C32" s="50" t="s">
        <v>299</v>
      </c>
      <c r="D32" s="20" t="s">
        <v>511</v>
      </c>
      <c r="E32" s="115">
        <f>IF(AND(E15&lt;0.01,E14&lt;0.001),E24*(E10^3-2*E26^3)/3+6*E9*E13*E23^0.5*(E10^2/2-E26^2+E9^2/4),"NA")</f>
        <v>29501.247134199675</v>
      </c>
      <c r="F32" s="141"/>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row>
    <row r="33" spans="1:40" ht="15.75" customHeight="1">
      <c r="A33" s="307"/>
      <c r="B33" s="114" t="s">
        <v>303</v>
      </c>
      <c r="C33" s="46" t="s">
        <v>300</v>
      </c>
      <c r="D33" s="20" t="s">
        <v>511</v>
      </c>
      <c r="E33" s="115" t="str">
        <f>IF(AND(E15&lt;0.01,E14&gt;0.001,E29&gt;=4*E9),9*E9*E14*(E10^2/2-E29^2+16*E9^2/9),"NA")</f>
        <v>NA</v>
      </c>
      <c r="F33" s="141"/>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4" spans="1:40" ht="15.75" customHeight="1">
      <c r="A34" s="307"/>
      <c r="B34" s="114" t="s">
        <v>324</v>
      </c>
      <c r="C34" s="50" t="s">
        <v>304</v>
      </c>
      <c r="D34" s="20" t="s">
        <v>511</v>
      </c>
      <c r="E34" s="115" t="str">
        <f>IF(AND(E15&lt;0.01,E14&gt;0.001,E29&lt;4*E9),E9*E14*(4.5*E10^2-6*E29^2-E29^3/(2*E9)),"NA")</f>
        <v>NA</v>
      </c>
      <c r="F34" s="141"/>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row>
    <row r="35" spans="1:40" ht="15.75" customHeight="1">
      <c r="A35" s="307"/>
      <c r="B35" s="114" t="s">
        <v>313</v>
      </c>
      <c r="C35" s="50" t="s">
        <v>318</v>
      </c>
      <c r="D35" s="20" t="s">
        <v>511</v>
      </c>
      <c r="E35" s="115" t="str">
        <f>IF(AND(E15&gt;0.01,E14&lt;0.001,E10&gt;4*E9),E10^3*E9*E23*(E12/1728)+E9*E13*E23^0.5*(3*E10^2-32*E9^2/3),"NA")</f>
        <v>NA</v>
      </c>
      <c r="F35" s="141"/>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row>
    <row r="36" spans="1:40" ht="15.75" customHeight="1">
      <c r="A36" s="307"/>
      <c r="B36" s="114" t="s">
        <v>314</v>
      </c>
      <c r="C36" s="50" t="s">
        <v>322</v>
      </c>
      <c r="D36" s="20" t="s">
        <v>511</v>
      </c>
      <c r="E36" s="115" t="str">
        <f>IF(AND(E15&gt;0.01,E14&lt;0.001,E10&lt;=4*E9),E10^3*E9*E23*(E12/1728)+E9*E10^2*E13*E23^0.5*(1+E10/(3*E9)),"NA")</f>
        <v>NA</v>
      </c>
      <c r="F36" s="141"/>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row>
    <row r="37" spans="1:40" ht="15.75" customHeight="1">
      <c r="A37" s="307"/>
      <c r="B37" s="114" t="s">
        <v>302</v>
      </c>
      <c r="C37" s="50" t="s">
        <v>312</v>
      </c>
      <c r="D37" s="20" t="s">
        <v>511</v>
      </c>
      <c r="E37" s="115" t="str">
        <f>IF(AND(E15&gt;0.01,E14&gt;0.001,E10&gt;4*E9),E9*E14*(4.5*E10^2-16*E9^2),"NA")</f>
        <v>NA</v>
      </c>
      <c r="F37" s="141"/>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row>
    <row r="38" spans="1:40" ht="15.75" customHeight="1">
      <c r="A38" s="308"/>
      <c r="B38" s="114" t="s">
        <v>301</v>
      </c>
      <c r="C38" s="50" t="s">
        <v>311</v>
      </c>
      <c r="D38" s="20" t="s">
        <v>511</v>
      </c>
      <c r="E38" s="115" t="str">
        <f>IF(AND(E15&gt;0.01,E14&gt;0.001,E10&lt;=4*E9),E9*E10^2*E14*(1.5+E10/(2*E9)),"NA")</f>
        <v>NA</v>
      </c>
      <c r="F38" s="141"/>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row>
    <row r="39" spans="1:40" ht="15.75" customHeight="1">
      <c r="A39" s="146" t="s">
        <v>338</v>
      </c>
      <c r="B39" s="114" t="s">
        <v>34</v>
      </c>
      <c r="C39" s="50" t="s">
        <v>339</v>
      </c>
      <c r="D39" s="20" t="s">
        <v>511</v>
      </c>
      <c r="E39" s="115">
        <f>IF(E18&gt;0.01,E31/E18,"NA")</f>
        <v>12395.481989159527</v>
      </c>
      <c r="F39" s="141"/>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row>
    <row r="40" spans="1:40" ht="15.75" customHeight="1">
      <c r="A40" s="146" t="s">
        <v>337</v>
      </c>
      <c r="B40" s="114" t="s">
        <v>336</v>
      </c>
      <c r="C40" s="50" t="s">
        <v>340</v>
      </c>
      <c r="D40" s="20" t="s">
        <v>511</v>
      </c>
      <c r="E40" s="115" t="str">
        <f>IF(E21&gt;0.01,E31*E21,"NA")</f>
        <v>NA</v>
      </c>
      <c r="F40" s="141"/>
      <c r="G40" s="154"/>
      <c r="H40" s="155"/>
      <c r="I40" s="156"/>
      <c r="J40" s="155"/>
      <c r="K40" s="155"/>
      <c r="L40" s="154"/>
      <c r="M40" s="141"/>
      <c r="N40" s="141"/>
      <c r="O40" s="141"/>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row>
    <row r="41" spans="1:40" ht="15.75" customHeight="1">
      <c r="A41" s="498" t="s">
        <v>36</v>
      </c>
      <c r="B41" s="499"/>
      <c r="C41" s="499"/>
      <c r="D41" s="500"/>
      <c r="E41" s="43" t="str">
        <f>IF(OR(E17&gt;E39,E20&gt;E40),"NO","Yes")</f>
        <v>Yes</v>
      </c>
      <c r="F41" s="141"/>
      <c r="G41" s="154"/>
      <c r="H41" s="155"/>
      <c r="I41" s="156"/>
      <c r="J41" s="155"/>
      <c r="K41" s="155"/>
      <c r="L41" s="154"/>
      <c r="M41" s="141"/>
      <c r="N41" s="141"/>
      <c r="O41" s="141"/>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row>
    <row r="42" spans="1:40" ht="12.75">
      <c r="A42" s="28"/>
      <c r="B42" s="9"/>
      <c r="C42" s="33"/>
      <c r="D42" s="9"/>
      <c r="E42" s="9"/>
      <c r="F42" s="141"/>
      <c r="G42" s="154"/>
      <c r="H42" s="154"/>
      <c r="I42" s="154"/>
      <c r="J42" s="154"/>
      <c r="K42" s="154"/>
      <c r="L42" s="154"/>
      <c r="M42" s="141"/>
      <c r="N42" s="141"/>
      <c r="O42" s="141"/>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row>
    <row r="43" spans="1:40" ht="12.75">
      <c r="A43" s="28"/>
      <c r="B43" s="9"/>
      <c r="C43" s="33"/>
      <c r="D43" s="9"/>
      <c r="E43" s="9"/>
      <c r="F43" s="141"/>
      <c r="G43" s="141"/>
      <c r="H43" s="141"/>
      <c r="I43" s="141"/>
      <c r="J43" s="141"/>
      <c r="K43" s="141"/>
      <c r="L43" s="141"/>
      <c r="M43" s="141"/>
      <c r="N43" s="141"/>
      <c r="O43" s="141"/>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row>
    <row r="44" spans="1:40" ht="12.75">
      <c r="A44" s="28"/>
      <c r="B44" s="9"/>
      <c r="C44" s="33"/>
      <c r="D44" s="9"/>
      <c r="E44" s="9"/>
      <c r="F44" s="141"/>
      <c r="G44" s="141"/>
      <c r="H44" s="141"/>
      <c r="I44" s="141"/>
      <c r="J44" s="141"/>
      <c r="K44" s="141"/>
      <c r="L44" s="141"/>
      <c r="M44" s="141"/>
      <c r="N44" s="141"/>
      <c r="O44" s="141"/>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row>
    <row r="45" spans="1:40" ht="12.75">
      <c r="A45" s="28"/>
      <c r="B45" s="9"/>
      <c r="C45" s="33"/>
      <c r="D45" s="9"/>
      <c r="E45" s="9"/>
      <c r="F45" s="141"/>
      <c r="G45" s="141"/>
      <c r="H45" s="141"/>
      <c r="I45" s="141"/>
      <c r="J45" s="141"/>
      <c r="K45" s="141"/>
      <c r="L45" s="141"/>
      <c r="M45" s="141"/>
      <c r="N45" s="141"/>
      <c r="O45" s="141"/>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2.75">
      <c r="A46" s="28"/>
      <c r="B46" s="9"/>
      <c r="C46" s="33"/>
      <c r="D46" s="9"/>
      <c r="E46" s="9"/>
      <c r="F46" s="141"/>
      <c r="G46" s="141"/>
      <c r="H46" s="141"/>
      <c r="I46" s="141"/>
      <c r="J46" s="141"/>
      <c r="K46" s="141"/>
      <c r="L46" s="141"/>
      <c r="M46" s="141"/>
      <c r="N46" s="141"/>
      <c r="O46" s="141"/>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40" ht="12.75">
      <c r="A47" s="28"/>
      <c r="B47" s="9"/>
      <c r="C47" s="33"/>
      <c r="D47" s="9"/>
      <c r="E47" s="9"/>
      <c r="F47" s="141"/>
      <c r="G47" s="141"/>
      <c r="H47" s="141"/>
      <c r="I47" s="141"/>
      <c r="J47" s="141"/>
      <c r="K47" s="141"/>
      <c r="L47" s="141"/>
      <c r="M47" s="141"/>
      <c r="N47" s="141"/>
      <c r="O47" s="141"/>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row r="48" spans="1:40" ht="12.75">
      <c r="A48" s="28"/>
      <c r="B48" s="9"/>
      <c r="C48" s="33"/>
      <c r="D48" s="9"/>
      <c r="E48" s="9"/>
      <c r="F48" s="141"/>
      <c r="G48" s="141"/>
      <c r="H48" s="141"/>
      <c r="I48" s="141"/>
      <c r="J48" s="141"/>
      <c r="K48" s="141"/>
      <c r="L48" s="141"/>
      <c r="M48" s="141"/>
      <c r="N48" s="141"/>
      <c r="O48" s="141"/>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2.75">
      <c r="A49" s="28"/>
      <c r="B49" s="9"/>
      <c r="C49" s="33"/>
      <c r="D49" s="9"/>
      <c r="E49" s="9"/>
      <c r="F49" s="141"/>
      <c r="G49" s="141"/>
      <c r="H49" s="141"/>
      <c r="I49" s="141"/>
      <c r="J49" s="141"/>
      <c r="K49" s="141"/>
      <c r="L49" s="141"/>
      <c r="M49" s="141"/>
      <c r="N49" s="141"/>
      <c r="O49" s="141"/>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2.75">
      <c r="A50" s="28"/>
      <c r="B50" s="9"/>
      <c r="C50" s="33"/>
      <c r="D50" s="9"/>
      <c r="E50" s="9"/>
      <c r="F50" s="141"/>
      <c r="G50" s="141"/>
      <c r="H50" s="141"/>
      <c r="I50" s="141"/>
      <c r="J50" s="141"/>
      <c r="K50" s="141"/>
      <c r="L50" s="141"/>
      <c r="M50" s="141"/>
      <c r="N50" s="141"/>
      <c r="O50" s="141"/>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2.75">
      <c r="A51" s="28"/>
      <c r="B51" s="9"/>
      <c r="C51" s="33"/>
      <c r="D51" s="9"/>
      <c r="E51" s="9"/>
      <c r="F51" s="141"/>
      <c r="G51" s="141"/>
      <c r="H51" s="141"/>
      <c r="I51" s="141"/>
      <c r="J51" s="141"/>
      <c r="K51" s="141"/>
      <c r="L51" s="141"/>
      <c r="M51" s="141"/>
      <c r="N51" s="141"/>
      <c r="O51" s="141"/>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2.75">
      <c r="A52" s="28"/>
      <c r="B52" s="9"/>
      <c r="C52" s="33"/>
      <c r="D52" s="9"/>
      <c r="E52" s="9"/>
      <c r="F52" s="141"/>
      <c r="G52" s="141"/>
      <c r="H52" s="141"/>
      <c r="I52" s="141"/>
      <c r="J52" s="141"/>
      <c r="K52" s="141"/>
      <c r="L52" s="141"/>
      <c r="M52" s="141"/>
      <c r="N52" s="141"/>
      <c r="O52" s="141"/>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2.75">
      <c r="A53" s="28"/>
      <c r="B53" s="9"/>
      <c r="C53" s="33"/>
      <c r="D53" s="9"/>
      <c r="E53" s="9"/>
      <c r="F53" s="141"/>
      <c r="G53" s="141"/>
      <c r="H53" s="141"/>
      <c r="I53" s="141"/>
      <c r="J53" s="141"/>
      <c r="K53" s="141"/>
      <c r="L53" s="141"/>
      <c r="M53" s="141"/>
      <c r="N53" s="141"/>
      <c r="O53" s="141"/>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2.75">
      <c r="A54" s="28"/>
      <c r="B54" s="9"/>
      <c r="C54" s="33"/>
      <c r="D54" s="9"/>
      <c r="E54" s="9"/>
      <c r="F54" s="141"/>
      <c r="G54" s="141"/>
      <c r="H54" s="141"/>
      <c r="I54" s="141"/>
      <c r="J54" s="141"/>
      <c r="K54" s="141"/>
      <c r="L54" s="141"/>
      <c r="M54" s="141"/>
      <c r="N54" s="141"/>
      <c r="O54" s="141"/>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2.75">
      <c r="A55" s="28"/>
      <c r="B55" s="9"/>
      <c r="C55" s="33"/>
      <c r="D55" s="9"/>
      <c r="E55" s="9"/>
      <c r="F55" s="141"/>
      <c r="G55" s="141"/>
      <c r="H55" s="141"/>
      <c r="I55" s="141"/>
      <c r="J55" s="141"/>
      <c r="K55" s="141"/>
      <c r="L55" s="141"/>
      <c r="M55" s="141"/>
      <c r="N55" s="141"/>
      <c r="O55" s="141"/>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40" ht="12.75">
      <c r="A56" s="28"/>
      <c r="B56" s="9"/>
      <c r="C56" s="33"/>
      <c r="D56" s="9"/>
      <c r="E56" s="9"/>
      <c r="F56" s="141"/>
      <c r="G56" s="141"/>
      <c r="H56" s="141"/>
      <c r="I56" s="141"/>
      <c r="J56" s="141"/>
      <c r="K56" s="141"/>
      <c r="L56" s="141"/>
      <c r="M56" s="141"/>
      <c r="N56" s="141"/>
      <c r="O56" s="141"/>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row>
    <row r="57" spans="1:40" ht="12.75">
      <c r="A57" s="28"/>
      <c r="B57" s="9"/>
      <c r="C57" s="33"/>
      <c r="D57" s="9"/>
      <c r="E57" s="9"/>
      <c r="F57" s="141"/>
      <c r="G57" s="141"/>
      <c r="H57" s="141"/>
      <c r="I57" s="141"/>
      <c r="J57" s="141"/>
      <c r="K57" s="141"/>
      <c r="L57" s="141"/>
      <c r="M57" s="141"/>
      <c r="N57" s="141"/>
      <c r="O57" s="141"/>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row>
    <row r="58" spans="1:40" ht="12.75">
      <c r="A58" s="28"/>
      <c r="B58" s="9"/>
      <c r="C58" s="33"/>
      <c r="D58" s="9"/>
      <c r="E58" s="9"/>
      <c r="F58" s="141"/>
      <c r="G58" s="141"/>
      <c r="H58" s="141"/>
      <c r="I58" s="141"/>
      <c r="J58" s="141"/>
      <c r="K58" s="141"/>
      <c r="L58" s="141"/>
      <c r="M58" s="141"/>
      <c r="N58" s="141"/>
      <c r="O58" s="141"/>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row>
    <row r="59" spans="1:40" ht="12.75">
      <c r="A59" s="28"/>
      <c r="B59" s="9"/>
      <c r="C59" s="33"/>
      <c r="D59" s="9"/>
      <c r="E59" s="9"/>
      <c r="F59" s="141"/>
      <c r="G59" s="141"/>
      <c r="H59" s="141"/>
      <c r="I59" s="141"/>
      <c r="J59" s="141"/>
      <c r="K59" s="141"/>
      <c r="L59" s="141"/>
      <c r="M59" s="141"/>
      <c r="N59" s="141"/>
      <c r="O59" s="141"/>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row>
    <row r="60" spans="1:40" ht="12.75">
      <c r="A60" s="28"/>
      <c r="B60" s="9"/>
      <c r="C60" s="33"/>
      <c r="D60" s="9"/>
      <c r="E60" s="9"/>
      <c r="F60" s="141"/>
      <c r="G60" s="141"/>
      <c r="H60" s="141"/>
      <c r="I60" s="141"/>
      <c r="J60" s="141"/>
      <c r="K60" s="141"/>
      <c r="L60" s="141"/>
      <c r="M60" s="141"/>
      <c r="N60" s="141"/>
      <c r="O60" s="141"/>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1:40" ht="12.75">
      <c r="A61" s="28"/>
      <c r="B61" s="9"/>
      <c r="C61" s="33"/>
      <c r="D61" s="9"/>
      <c r="E61" s="9"/>
      <c r="F61" s="141"/>
      <c r="G61" s="141"/>
      <c r="H61" s="141"/>
      <c r="I61" s="141"/>
      <c r="J61" s="141"/>
      <c r="K61" s="141"/>
      <c r="L61" s="141"/>
      <c r="M61" s="141"/>
      <c r="N61" s="141"/>
      <c r="O61" s="141"/>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row>
    <row r="62" spans="1:40" ht="12.75">
      <c r="A62" s="28"/>
      <c r="B62" s="9"/>
      <c r="C62" s="33"/>
      <c r="D62" s="9"/>
      <c r="E62" s="9"/>
      <c r="F62" s="141"/>
      <c r="G62" s="141"/>
      <c r="H62" s="141"/>
      <c r="I62" s="141"/>
      <c r="J62" s="141"/>
      <c r="K62" s="141"/>
      <c r="L62" s="141"/>
      <c r="M62" s="141"/>
      <c r="N62" s="141"/>
      <c r="O62" s="141"/>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row>
    <row r="63" spans="1:40" ht="12.75">
      <c r="A63" s="28"/>
      <c r="B63" s="9"/>
      <c r="C63" s="33"/>
      <c r="D63" s="9"/>
      <c r="E63" s="9"/>
      <c r="F63" s="141"/>
      <c r="G63" s="141"/>
      <c r="H63" s="141"/>
      <c r="I63" s="141"/>
      <c r="J63" s="141"/>
      <c r="K63" s="141"/>
      <c r="L63" s="141"/>
      <c r="M63" s="141"/>
      <c r="N63" s="141"/>
      <c r="O63" s="141"/>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row>
    <row r="64" spans="1:40" ht="12.75">
      <c r="A64" s="28"/>
      <c r="B64" s="9"/>
      <c r="C64" s="33"/>
      <c r="D64" s="9"/>
      <c r="E64" s="9"/>
      <c r="F64" s="141"/>
      <c r="G64" s="141"/>
      <c r="H64" s="141"/>
      <c r="I64" s="141"/>
      <c r="J64" s="141"/>
      <c r="K64" s="141"/>
      <c r="L64" s="141"/>
      <c r="M64" s="141"/>
      <c r="N64" s="141"/>
      <c r="O64" s="141"/>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row>
    <row r="65" spans="1:40" ht="12.75">
      <c r="A65" s="28"/>
      <c r="B65" s="9"/>
      <c r="C65" s="33"/>
      <c r="D65" s="9"/>
      <c r="E65" s="9"/>
      <c r="F65" s="141"/>
      <c r="G65" s="141"/>
      <c r="H65" s="141"/>
      <c r="I65" s="141"/>
      <c r="J65" s="141"/>
      <c r="K65" s="141"/>
      <c r="L65" s="141"/>
      <c r="M65" s="141"/>
      <c r="N65" s="141"/>
      <c r="O65" s="141"/>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row>
    <row r="66" spans="1:40" ht="12.75">
      <c r="A66" s="28"/>
      <c r="B66" s="9"/>
      <c r="C66" s="33"/>
      <c r="D66" s="9"/>
      <c r="E66" s="9"/>
      <c r="F66" s="141"/>
      <c r="G66" s="141"/>
      <c r="H66" s="141"/>
      <c r="I66" s="141"/>
      <c r="J66" s="141"/>
      <c r="K66" s="141"/>
      <c r="L66" s="141"/>
      <c r="M66" s="141"/>
      <c r="N66" s="141"/>
      <c r="O66" s="141"/>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2.75">
      <c r="A67" s="28"/>
      <c r="B67" s="9"/>
      <c r="C67" s="33"/>
      <c r="D67" s="9"/>
      <c r="E67" s="9"/>
      <c r="F67" s="141"/>
      <c r="G67" s="141"/>
      <c r="H67" s="141"/>
      <c r="I67" s="141"/>
      <c r="J67" s="141"/>
      <c r="K67" s="141"/>
      <c r="L67" s="141"/>
      <c r="M67" s="141"/>
      <c r="N67" s="141"/>
      <c r="O67" s="141"/>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row>
    <row r="68" spans="1:40" ht="12.75">
      <c r="A68" s="28"/>
      <c r="B68" s="9"/>
      <c r="C68" s="33"/>
      <c r="D68" s="9"/>
      <c r="E68" s="9"/>
      <c r="F68" s="141"/>
      <c r="G68" s="141"/>
      <c r="H68" s="141"/>
      <c r="I68" s="141"/>
      <c r="J68" s="141"/>
      <c r="K68" s="141"/>
      <c r="L68" s="141"/>
      <c r="M68" s="141"/>
      <c r="N68" s="141"/>
      <c r="O68" s="141"/>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row>
    <row r="69" spans="1:40" ht="12.75">
      <c r="A69" s="28"/>
      <c r="B69" s="9"/>
      <c r="C69" s="33"/>
      <c r="D69" s="9"/>
      <c r="E69" s="9"/>
      <c r="F69" s="141"/>
      <c r="G69" s="141"/>
      <c r="H69" s="141"/>
      <c r="I69" s="141"/>
      <c r="J69" s="141"/>
      <c r="K69" s="141"/>
      <c r="L69" s="141"/>
      <c r="M69" s="141"/>
      <c r="N69" s="141"/>
      <c r="O69" s="141"/>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row>
    <row r="70" spans="1:40" ht="12.75">
      <c r="A70" s="28"/>
      <c r="B70" s="9"/>
      <c r="C70" s="33"/>
      <c r="D70" s="9"/>
      <c r="E70" s="9"/>
      <c r="F70" s="141"/>
      <c r="G70" s="141"/>
      <c r="H70" s="141"/>
      <c r="I70" s="141"/>
      <c r="J70" s="141"/>
      <c r="K70" s="141"/>
      <c r="L70" s="141"/>
      <c r="M70" s="141"/>
      <c r="N70" s="141"/>
      <c r="O70" s="141"/>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row>
    <row r="71" spans="1:40" ht="12.75">
      <c r="A71" s="28"/>
      <c r="B71" s="9"/>
      <c r="C71" s="33"/>
      <c r="D71" s="9"/>
      <c r="E71" s="9"/>
      <c r="F71" s="141"/>
      <c r="G71" s="141"/>
      <c r="H71" s="141"/>
      <c r="I71" s="141"/>
      <c r="J71" s="141"/>
      <c r="K71" s="141"/>
      <c r="L71" s="141"/>
      <c r="M71" s="141"/>
      <c r="N71" s="141"/>
      <c r="O71" s="141"/>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row>
    <row r="72" spans="1:40" ht="12.75">
      <c r="A72" s="28"/>
      <c r="B72" s="9"/>
      <c r="C72" s="33"/>
      <c r="D72" s="9"/>
      <c r="E72" s="9"/>
      <c r="F72" s="141"/>
      <c r="G72" s="141"/>
      <c r="H72" s="141"/>
      <c r="I72" s="141"/>
      <c r="J72" s="141"/>
      <c r="K72" s="141"/>
      <c r="L72" s="141"/>
      <c r="M72" s="141"/>
      <c r="N72" s="141"/>
      <c r="O72" s="141"/>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row>
    <row r="73" spans="1:40" ht="12.75">
      <c r="A73" s="28"/>
      <c r="B73" s="9"/>
      <c r="C73" s="33"/>
      <c r="D73" s="9"/>
      <c r="E73" s="9"/>
      <c r="F73" s="141"/>
      <c r="G73" s="141"/>
      <c r="H73" s="141"/>
      <c r="I73" s="141"/>
      <c r="J73" s="141"/>
      <c r="K73" s="141"/>
      <c r="L73" s="141"/>
      <c r="M73" s="141"/>
      <c r="N73" s="141"/>
      <c r="O73" s="141"/>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row>
    <row r="74" spans="1:40" ht="12.75">
      <c r="A74" s="28"/>
      <c r="B74" s="9"/>
      <c r="C74" s="33"/>
      <c r="D74" s="9"/>
      <c r="E74" s="9"/>
      <c r="F74" s="141"/>
      <c r="G74" s="141"/>
      <c r="H74" s="141"/>
      <c r="I74" s="141"/>
      <c r="J74" s="141"/>
      <c r="K74" s="141"/>
      <c r="L74" s="141"/>
      <c r="M74" s="141"/>
      <c r="N74" s="141"/>
      <c r="O74" s="141"/>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row>
    <row r="75" spans="1:40" ht="12.75">
      <c r="A75" s="28"/>
      <c r="B75" s="9"/>
      <c r="C75" s="33"/>
      <c r="D75" s="9"/>
      <c r="E75" s="9"/>
      <c r="F75" s="141"/>
      <c r="G75" s="141"/>
      <c r="H75" s="141"/>
      <c r="I75" s="141"/>
      <c r="J75" s="141"/>
      <c r="K75" s="141"/>
      <c r="L75" s="141"/>
      <c r="M75" s="141"/>
      <c r="N75" s="141"/>
      <c r="O75" s="141"/>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row>
    <row r="76" spans="1:40" ht="12.75">
      <c r="A76" s="28"/>
      <c r="B76" s="9"/>
      <c r="C76" s="33"/>
      <c r="D76" s="9"/>
      <c r="E76" s="9"/>
      <c r="F76" s="141"/>
      <c r="G76" s="141"/>
      <c r="H76" s="141"/>
      <c r="I76" s="141"/>
      <c r="J76" s="141"/>
      <c r="K76" s="141"/>
      <c r="L76" s="141"/>
      <c r="M76" s="141"/>
      <c r="N76" s="141"/>
      <c r="O76" s="141"/>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row>
    <row r="77" spans="1:40" ht="12.75">
      <c r="A77" s="28"/>
      <c r="B77" s="9"/>
      <c r="C77" s="33"/>
      <c r="D77" s="9"/>
      <c r="E77" s="9"/>
      <c r="F77" s="141"/>
      <c r="G77" s="141"/>
      <c r="H77" s="141"/>
      <c r="I77" s="141"/>
      <c r="J77" s="141"/>
      <c r="K77" s="141"/>
      <c r="L77" s="141"/>
      <c r="M77" s="141"/>
      <c r="N77" s="141"/>
      <c r="O77" s="141"/>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row>
    <row r="78" spans="1:40" ht="12.75">
      <c r="A78" s="28"/>
      <c r="B78" s="9"/>
      <c r="C78" s="33"/>
      <c r="D78" s="9"/>
      <c r="E78" s="9"/>
      <c r="F78" s="141"/>
      <c r="G78" s="141"/>
      <c r="H78" s="141"/>
      <c r="I78" s="141"/>
      <c r="J78" s="141"/>
      <c r="K78" s="141"/>
      <c r="L78" s="141"/>
      <c r="M78" s="141"/>
      <c r="N78" s="141"/>
      <c r="O78" s="141"/>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row>
    <row r="79" spans="1:40" ht="12.75">
      <c r="A79" s="28"/>
      <c r="B79" s="9"/>
      <c r="C79" s="33"/>
      <c r="D79" s="9"/>
      <c r="E79" s="9"/>
      <c r="F79" s="141"/>
      <c r="G79" s="141"/>
      <c r="H79" s="141"/>
      <c r="I79" s="141"/>
      <c r="J79" s="141"/>
      <c r="K79" s="141"/>
      <c r="L79" s="141"/>
      <c r="M79" s="141"/>
      <c r="N79" s="141"/>
      <c r="O79" s="141"/>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row>
    <row r="80" spans="1:40" ht="12.75">
      <c r="A80" s="28"/>
      <c r="B80" s="9"/>
      <c r="C80" s="33"/>
      <c r="D80" s="9"/>
      <c r="E80" s="9"/>
      <c r="F80" s="141"/>
      <c r="G80" s="141"/>
      <c r="H80" s="141"/>
      <c r="I80" s="141"/>
      <c r="J80" s="141"/>
      <c r="K80" s="141"/>
      <c r="L80" s="141"/>
      <c r="M80" s="141"/>
      <c r="N80" s="141"/>
      <c r="O80" s="141"/>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row>
    <row r="81" spans="1:40" ht="12.75">
      <c r="A81" s="28"/>
      <c r="B81" s="9"/>
      <c r="C81" s="33"/>
      <c r="D81" s="9"/>
      <c r="E81" s="9"/>
      <c r="F81" s="141"/>
      <c r="G81" s="141"/>
      <c r="H81" s="141"/>
      <c r="I81" s="141"/>
      <c r="J81" s="141"/>
      <c r="K81" s="141"/>
      <c r="L81" s="141"/>
      <c r="M81" s="141"/>
      <c r="N81" s="141"/>
      <c r="O81" s="141"/>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row>
    <row r="82" ht="12.75">
      <c r="C82" s="33"/>
    </row>
    <row r="83" ht="12.75">
      <c r="C83" s="33"/>
    </row>
    <row r="84" ht="12.75">
      <c r="C84" s="33"/>
    </row>
    <row r="85" ht="12.75">
      <c r="C85" s="33"/>
    </row>
    <row r="86" ht="12.75">
      <c r="C86" s="33"/>
    </row>
    <row r="87" ht="12.75">
      <c r="C87" s="33"/>
    </row>
    <row r="88" ht="12.75">
      <c r="C88" s="33"/>
    </row>
    <row r="89" ht="12.75">
      <c r="C89" s="33"/>
    </row>
    <row r="90" ht="12.75">
      <c r="C90" s="33"/>
    </row>
    <row r="91" ht="12.75">
      <c r="C91" s="33"/>
    </row>
    <row r="92" ht="12.75">
      <c r="C92" s="33"/>
    </row>
    <row r="93" ht="12.75">
      <c r="C93" s="33"/>
    </row>
    <row r="94" ht="12.75">
      <c r="C94" s="33"/>
    </row>
    <row r="95" ht="12.75">
      <c r="C95" s="33"/>
    </row>
    <row r="96" ht="12.75">
      <c r="C96" s="33"/>
    </row>
    <row r="97" ht="12.75">
      <c r="C97" s="33"/>
    </row>
    <row r="98" ht="12.75">
      <c r="C98" s="33"/>
    </row>
    <row r="99" ht="12.75">
      <c r="C99" s="33"/>
    </row>
    <row r="100" ht="12.75">
      <c r="C100" s="33"/>
    </row>
    <row r="101" ht="12.75">
      <c r="C101" s="33"/>
    </row>
    <row r="102" ht="12.75">
      <c r="C102" s="33"/>
    </row>
    <row r="103" ht="12.75">
      <c r="C103" s="33"/>
    </row>
    <row r="104" ht="12.75">
      <c r="C104" s="33"/>
    </row>
    <row r="105" ht="12.75">
      <c r="C105" s="33"/>
    </row>
    <row r="106" ht="12.75">
      <c r="C106" s="33"/>
    </row>
    <row r="107" ht="12.75">
      <c r="C107" s="33"/>
    </row>
    <row r="108" ht="12.75">
      <c r="C108" s="33"/>
    </row>
    <row r="109" ht="12.75">
      <c r="C109" s="33"/>
    </row>
    <row r="110" ht="12.75">
      <c r="C110" s="33"/>
    </row>
    <row r="111" ht="12.75">
      <c r="C111" s="33"/>
    </row>
    <row r="112" ht="12.75">
      <c r="C112" s="33"/>
    </row>
    <row r="113" ht="12.75">
      <c r="C113" s="33"/>
    </row>
    <row r="114" ht="12.75">
      <c r="C114" s="33"/>
    </row>
    <row r="115" ht="12.75">
      <c r="C115" s="33"/>
    </row>
    <row r="116" ht="12.75">
      <c r="C116" s="33"/>
    </row>
    <row r="117" ht="12.75">
      <c r="C117" s="33"/>
    </row>
    <row r="118" ht="12.75">
      <c r="C118" s="33"/>
    </row>
    <row r="119" ht="12.75">
      <c r="C119" s="33"/>
    </row>
    <row r="120" ht="12.75">
      <c r="C120" s="33"/>
    </row>
    <row r="121" ht="12.75">
      <c r="C121" s="33"/>
    </row>
    <row r="122" ht="12.75">
      <c r="C122" s="33"/>
    </row>
    <row r="123" ht="12.75">
      <c r="C123" s="33"/>
    </row>
    <row r="124" ht="12.75">
      <c r="C124" s="33"/>
    </row>
    <row r="125" ht="12.75">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ht="12.75">
      <c r="C138" s="33"/>
    </row>
    <row r="139" ht="12.75">
      <c r="C139" s="33"/>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row r="150" ht="12.75">
      <c r="C150" s="33"/>
    </row>
    <row r="151" ht="12.75">
      <c r="C151" s="33"/>
    </row>
    <row r="152" ht="12.75">
      <c r="C152" s="33"/>
    </row>
    <row r="153" ht="12.75">
      <c r="C153" s="33"/>
    </row>
    <row r="154" ht="12.75">
      <c r="C154" s="33"/>
    </row>
    <row r="155" ht="12.75">
      <c r="C155" s="33"/>
    </row>
    <row r="156" ht="12.75">
      <c r="C156" s="33"/>
    </row>
    <row r="157" ht="12.75">
      <c r="C157" s="33"/>
    </row>
    <row r="158" ht="12.75">
      <c r="C158" s="33"/>
    </row>
  </sheetData>
  <sheetProtection sheet="1" objects="1" scenarios="1" selectLockedCells="1"/>
  <mergeCells count="40">
    <mergeCell ref="A31:A38"/>
    <mergeCell ref="M15:N15"/>
    <mergeCell ref="J16:K16"/>
    <mergeCell ref="M16:N16"/>
    <mergeCell ref="J17:K17"/>
    <mergeCell ref="M17:N17"/>
    <mergeCell ref="J18:K18"/>
    <mergeCell ref="M18:N18"/>
    <mergeCell ref="G21:O21"/>
    <mergeCell ref="H18:H19"/>
    <mergeCell ref="G22:O22"/>
    <mergeCell ref="G14:G19"/>
    <mergeCell ref="J14:K14"/>
    <mergeCell ref="M14:N14"/>
    <mergeCell ref="J15:K15"/>
    <mergeCell ref="J19:K19"/>
    <mergeCell ref="M19:N19"/>
    <mergeCell ref="J5:L6"/>
    <mergeCell ref="H4:H8"/>
    <mergeCell ref="I4:I8"/>
    <mergeCell ref="G20:O20"/>
    <mergeCell ref="G9:G13"/>
    <mergeCell ref="J4:L4"/>
    <mergeCell ref="A26:A29"/>
    <mergeCell ref="A41:D41"/>
    <mergeCell ref="M5:O6"/>
    <mergeCell ref="J7:K8"/>
    <mergeCell ref="L7:L8"/>
    <mergeCell ref="M7:N8"/>
    <mergeCell ref="O7:O8"/>
    <mergeCell ref="H9:H11"/>
    <mergeCell ref="H12:H13"/>
    <mergeCell ref="H14:H17"/>
    <mergeCell ref="A2:E2"/>
    <mergeCell ref="A3:E3"/>
    <mergeCell ref="G4:G8"/>
    <mergeCell ref="A5:E5"/>
    <mergeCell ref="A6:E6"/>
    <mergeCell ref="A7:E7"/>
    <mergeCell ref="A4:E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C437"/>
  <sheetViews>
    <sheetView tabSelected="1" workbookViewId="0" topLeftCell="A1">
      <selection activeCell="E15" sqref="E15"/>
    </sheetView>
  </sheetViews>
  <sheetFormatPr defaultColWidth="9.140625" defaultRowHeight="12.75"/>
  <cols>
    <col min="1" max="1" width="12.57421875" style="4" customWidth="1"/>
    <col min="2" max="2" width="73.7109375" style="33" customWidth="1"/>
    <col min="3" max="3" width="56.140625" style="33" customWidth="1"/>
    <col min="4" max="4" width="15.28125" style="9" customWidth="1"/>
    <col min="5" max="5" width="9.7109375" style="9" customWidth="1"/>
    <col min="6" max="6" width="43.00390625" style="33" customWidth="1"/>
    <col min="8" max="8" width="18.421875" style="0" customWidth="1"/>
    <col min="9" max="9" width="15.7109375" style="0" customWidth="1"/>
    <col min="10" max="10" width="60.140625" style="0" customWidth="1"/>
    <col min="11" max="11" width="17.00390625" style="0" customWidth="1"/>
    <col min="12" max="12" width="5.28125" style="0" customWidth="1"/>
    <col min="13" max="13" width="11.421875" style="0" customWidth="1"/>
    <col min="14" max="14" width="19.421875" style="0" customWidth="1"/>
    <col min="15" max="15" width="6.421875" style="0" customWidth="1"/>
    <col min="16" max="16" width="11.421875" style="0" customWidth="1"/>
    <col min="19" max="19" width="10.8515625" style="0" customWidth="1"/>
    <col min="20" max="20" width="28.421875" style="0" customWidth="1"/>
    <col min="21" max="21" width="11.28125" style="0" customWidth="1"/>
    <col min="22" max="22" width="12.00390625" style="0" customWidth="1"/>
    <col min="23" max="24" width="11.421875" style="0" customWidth="1"/>
    <col min="25" max="25" width="10.57421875" style="0" customWidth="1"/>
    <col min="26" max="26" width="10.7109375" style="0" customWidth="1"/>
    <col min="27" max="27" width="11.7109375" style="0" customWidth="1"/>
  </cols>
  <sheetData>
    <row r="1" spans="1:6" ht="12.75">
      <c r="A1" s="543"/>
      <c r="B1" s="544"/>
      <c r="C1" s="544"/>
      <c r="D1" s="544"/>
      <c r="E1" s="544"/>
      <c r="F1" s="544"/>
    </row>
    <row r="2" spans="1:27" ht="18">
      <c r="A2" s="248" t="s">
        <v>363</v>
      </c>
      <c r="B2" s="248"/>
      <c r="C2" s="248"/>
      <c r="D2" s="248"/>
      <c r="E2" s="248"/>
      <c r="F2" s="248"/>
      <c r="H2" s="64" t="s">
        <v>341</v>
      </c>
      <c r="I2" s="65"/>
      <c r="J2" s="65"/>
      <c r="K2" s="66"/>
      <c r="L2" s="66"/>
      <c r="M2" s="66"/>
      <c r="N2" s="66"/>
      <c r="O2" s="66"/>
      <c r="P2" s="66"/>
      <c r="S2" s="389" t="s">
        <v>364</v>
      </c>
      <c r="T2" s="389"/>
      <c r="U2" s="389"/>
      <c r="V2" s="389"/>
      <c r="W2" s="389"/>
      <c r="X2" s="389"/>
      <c r="Y2" s="389"/>
      <c r="Z2" s="389"/>
      <c r="AA2" s="389"/>
    </row>
    <row r="3" spans="1:6" ht="15" customHeight="1">
      <c r="A3" s="404" t="s">
        <v>447</v>
      </c>
      <c r="B3" s="404"/>
      <c r="C3" s="404"/>
      <c r="D3" s="404"/>
      <c r="E3" s="404"/>
      <c r="F3" s="404"/>
    </row>
    <row r="4" spans="1:29" ht="29.25" customHeight="1">
      <c r="A4" s="51" t="s">
        <v>28</v>
      </c>
      <c r="B4" s="51" t="s">
        <v>128</v>
      </c>
      <c r="C4" s="51" t="s">
        <v>127</v>
      </c>
      <c r="D4" s="51" t="s">
        <v>496</v>
      </c>
      <c r="E4" s="51" t="s">
        <v>504</v>
      </c>
      <c r="F4" s="51" t="s">
        <v>506</v>
      </c>
      <c r="H4" s="398" t="s">
        <v>547</v>
      </c>
      <c r="I4" s="398" t="s">
        <v>441</v>
      </c>
      <c r="J4" s="398" t="s">
        <v>442</v>
      </c>
      <c r="K4" s="480" t="s">
        <v>443</v>
      </c>
      <c r="L4" s="505"/>
      <c r="M4" s="505"/>
      <c r="N4" s="96">
        <f>$E$10</f>
        <v>35</v>
      </c>
      <c r="O4" s="67"/>
      <c r="P4" s="68"/>
      <c r="S4" s="542" t="s">
        <v>365</v>
      </c>
      <c r="T4" s="542" t="s">
        <v>372</v>
      </c>
      <c r="U4" s="542" t="s">
        <v>376</v>
      </c>
      <c r="V4" s="542" t="s">
        <v>366</v>
      </c>
      <c r="W4" s="542"/>
      <c r="X4" s="542" t="s">
        <v>367</v>
      </c>
      <c r="Y4" s="542"/>
      <c r="Z4" s="542"/>
      <c r="AA4" s="542" t="s">
        <v>368</v>
      </c>
      <c r="AB4" s="1"/>
      <c r="AC4" s="1"/>
    </row>
    <row r="5" spans="1:27" ht="27.75" customHeight="1">
      <c r="A5" s="240" t="s">
        <v>734</v>
      </c>
      <c r="B5" s="62" t="s">
        <v>196</v>
      </c>
      <c r="C5" s="46"/>
      <c r="D5" s="20" t="s">
        <v>497</v>
      </c>
      <c r="E5" s="52">
        <v>14</v>
      </c>
      <c r="F5" s="46"/>
      <c r="H5" s="313"/>
      <c r="I5" s="313"/>
      <c r="J5" s="313"/>
      <c r="K5" s="398" t="s">
        <v>444</v>
      </c>
      <c r="L5" s="398"/>
      <c r="M5" s="312"/>
      <c r="N5" s="398" t="s">
        <v>445</v>
      </c>
      <c r="O5" s="313"/>
      <c r="P5" s="313"/>
      <c r="S5" s="542"/>
      <c r="T5" s="542"/>
      <c r="U5" s="542"/>
      <c r="V5" s="19" t="s">
        <v>369</v>
      </c>
      <c r="W5" s="19" t="s">
        <v>370</v>
      </c>
      <c r="X5" s="19" t="s">
        <v>371</v>
      </c>
      <c r="Y5" s="19" t="s">
        <v>500</v>
      </c>
      <c r="Z5" s="19" t="s">
        <v>492</v>
      </c>
      <c r="AA5" s="542"/>
    </row>
    <row r="6" spans="1:27" ht="15.75" customHeight="1">
      <c r="A6" s="240" t="s">
        <v>735</v>
      </c>
      <c r="B6" s="237" t="s">
        <v>736</v>
      </c>
      <c r="C6" s="46"/>
      <c r="D6" s="20" t="s">
        <v>497</v>
      </c>
      <c r="E6" s="52">
        <v>0</v>
      </c>
      <c r="F6" s="46" t="s">
        <v>202</v>
      </c>
      <c r="H6" s="313"/>
      <c r="I6" s="313"/>
      <c r="J6" s="313"/>
      <c r="K6" s="398" t="s">
        <v>486</v>
      </c>
      <c r="L6" s="433"/>
      <c r="M6" s="161" t="s">
        <v>437</v>
      </c>
      <c r="N6" s="398" t="s">
        <v>486</v>
      </c>
      <c r="O6" s="433"/>
      <c r="P6" s="161" t="s">
        <v>438</v>
      </c>
      <c r="S6" s="542"/>
      <c r="T6" s="542"/>
      <c r="U6" s="34" t="s">
        <v>108</v>
      </c>
      <c r="V6" s="34" t="s">
        <v>497</v>
      </c>
      <c r="W6" s="34" t="s">
        <v>497</v>
      </c>
      <c r="X6" s="34" t="s">
        <v>497</v>
      </c>
      <c r="Y6" s="34" t="s">
        <v>497</v>
      </c>
      <c r="Z6" s="34" t="s">
        <v>497</v>
      </c>
      <c r="AA6" s="34" t="s">
        <v>95</v>
      </c>
    </row>
    <row r="7" spans="1:27" ht="15.75" customHeight="1">
      <c r="A7" s="47" t="s">
        <v>59</v>
      </c>
      <c r="B7" s="48" t="s">
        <v>181</v>
      </c>
      <c r="C7" s="46"/>
      <c r="D7" s="20" t="s">
        <v>498</v>
      </c>
      <c r="E7" s="52">
        <v>40</v>
      </c>
      <c r="F7" s="54"/>
      <c r="H7" s="507" t="s">
        <v>548</v>
      </c>
      <c r="I7" s="507" t="s">
        <v>426</v>
      </c>
      <c r="J7" s="62" t="s">
        <v>563</v>
      </c>
      <c r="K7" s="63" t="s">
        <v>428</v>
      </c>
      <c r="L7" s="135">
        <f>IF((1.2-0.015*N$4)&gt;0.93,0.93,(1.2-0.015*N$4))</f>
        <v>0.6749999999999999</v>
      </c>
      <c r="M7" s="158">
        <f>IF((L7*1.25)&gt;0.93,0.93,(L7*1.25))</f>
        <v>0.8437499999999999</v>
      </c>
      <c r="N7" s="63" t="s">
        <v>432</v>
      </c>
      <c r="O7" s="159">
        <f aca="true" t="shared" si="0" ref="O7:P11">1.4/L7</f>
        <v>2.074074074074074</v>
      </c>
      <c r="P7" s="116">
        <f t="shared" si="0"/>
        <v>1.6592592592592594</v>
      </c>
      <c r="S7" s="21">
        <v>1</v>
      </c>
      <c r="T7" s="52"/>
      <c r="U7" s="52"/>
      <c r="V7" s="52"/>
      <c r="W7" s="52"/>
      <c r="X7" s="52"/>
      <c r="Y7" s="52"/>
      <c r="Z7" s="52"/>
      <c r="AA7" s="104">
        <f aca="true" t="shared" si="1" ref="AA7:AA12">+(U7/1728)*(V7*W7^2*3.1416/4+X7*Y7*Z7)</f>
        <v>0</v>
      </c>
    </row>
    <row r="8" spans="1:27" ht="15.75" customHeight="1">
      <c r="A8" s="47" t="s">
        <v>49</v>
      </c>
      <c r="B8" s="48" t="s">
        <v>199</v>
      </c>
      <c r="C8" s="50"/>
      <c r="D8" s="20" t="s">
        <v>458</v>
      </c>
      <c r="E8" s="61">
        <f>4.5*5.5</f>
        <v>24.75</v>
      </c>
      <c r="F8" s="46"/>
      <c r="H8" s="508"/>
      <c r="I8" s="508"/>
      <c r="J8" s="62" t="s">
        <v>564</v>
      </c>
      <c r="K8" s="63" t="s">
        <v>427</v>
      </c>
      <c r="L8" s="136">
        <f>IF((0.93-0.015*N$4)&gt;0.93,0.93,(0.93-0.015*N$4))</f>
        <v>0.405</v>
      </c>
      <c r="M8" s="158">
        <f>IF((L8*1.25)&gt;0.93,0.93,(L8*1.25))</f>
        <v>0.5062500000000001</v>
      </c>
      <c r="N8" s="63" t="s">
        <v>433</v>
      </c>
      <c r="O8" s="250">
        <f t="shared" si="0"/>
        <v>3.4567901234567895</v>
      </c>
      <c r="P8" s="251">
        <f t="shared" si="0"/>
        <v>2.7654320987654315</v>
      </c>
      <c r="S8" s="21">
        <v>2</v>
      </c>
      <c r="T8" s="52"/>
      <c r="U8" s="52"/>
      <c r="V8" s="52"/>
      <c r="W8" s="52"/>
      <c r="X8" s="52"/>
      <c r="Y8" s="52"/>
      <c r="Z8" s="52"/>
      <c r="AA8" s="104">
        <f t="shared" si="1"/>
        <v>0</v>
      </c>
    </row>
    <row r="9" spans="1:27" ht="15.75" customHeight="1">
      <c r="A9" s="47" t="s">
        <v>67</v>
      </c>
      <c r="B9" s="241" t="s">
        <v>448</v>
      </c>
      <c r="C9" s="46"/>
      <c r="D9" s="20" t="s">
        <v>95</v>
      </c>
      <c r="E9" s="52">
        <v>100</v>
      </c>
      <c r="F9" s="54" t="s">
        <v>385</v>
      </c>
      <c r="H9" s="508"/>
      <c r="I9" s="508"/>
      <c r="J9" s="62" t="s">
        <v>565</v>
      </c>
      <c r="K9" s="63" t="s">
        <v>429</v>
      </c>
      <c r="L9" s="136">
        <f>IF((1.07-0.015*N$4)&gt;0.93,0.93,(1.07-0.015*N$4))</f>
        <v>0.545</v>
      </c>
      <c r="M9" s="158">
        <f>IF((L9*1.25)&gt;0.93,0.93,(L9*1.25))</f>
        <v>0.68125</v>
      </c>
      <c r="N9" s="63" t="s">
        <v>434</v>
      </c>
      <c r="O9" s="250">
        <f t="shared" si="0"/>
        <v>2.568807339449541</v>
      </c>
      <c r="P9" s="251">
        <f t="shared" si="0"/>
        <v>2.0550458715596327</v>
      </c>
      <c r="S9" s="21">
        <v>3</v>
      </c>
      <c r="T9" s="52"/>
      <c r="U9" s="52"/>
      <c r="V9" s="52"/>
      <c r="W9" s="52"/>
      <c r="X9" s="52"/>
      <c r="Y9" s="52"/>
      <c r="Z9" s="52"/>
      <c r="AA9" s="104">
        <f t="shared" si="1"/>
        <v>0</v>
      </c>
    </row>
    <row r="10" spans="1:27" ht="15.75" customHeight="1">
      <c r="A10" s="49" t="s">
        <v>93</v>
      </c>
      <c r="B10" s="241" t="s">
        <v>198</v>
      </c>
      <c r="C10" s="46"/>
      <c r="D10" s="20" t="s">
        <v>25</v>
      </c>
      <c r="E10" s="52">
        <v>35</v>
      </c>
      <c r="F10" s="46" t="s">
        <v>424</v>
      </c>
      <c r="H10" s="508"/>
      <c r="I10" s="508"/>
      <c r="J10" s="62" t="s">
        <v>673</v>
      </c>
      <c r="K10" s="63" t="s">
        <v>430</v>
      </c>
      <c r="L10" s="136">
        <f>IF((0.87-0.015*N$4)&gt;0.93,0.93,(0.87-0.015*N$4))</f>
        <v>0.345</v>
      </c>
      <c r="M10" s="158">
        <f>IF((L10*1.25)&gt;0.93,0.93,(L10*1.25))</f>
        <v>0.43124999999999997</v>
      </c>
      <c r="N10" s="63" t="s">
        <v>435</v>
      </c>
      <c r="O10" s="250">
        <f t="shared" si="0"/>
        <v>4.057971014492754</v>
      </c>
      <c r="P10" s="251">
        <f t="shared" si="0"/>
        <v>3.246376811594203</v>
      </c>
      <c r="S10" s="21">
        <v>4</v>
      </c>
      <c r="T10" s="52"/>
      <c r="U10" s="52"/>
      <c r="V10" s="52"/>
      <c r="W10" s="52"/>
      <c r="X10" s="52"/>
      <c r="Y10" s="52"/>
      <c r="Z10" s="52"/>
      <c r="AA10" s="104">
        <f t="shared" si="1"/>
        <v>0</v>
      </c>
    </row>
    <row r="11" spans="1:27" ht="15.75" customHeight="1">
      <c r="A11" s="47" t="s">
        <v>132</v>
      </c>
      <c r="B11" s="241" t="s">
        <v>265</v>
      </c>
      <c r="C11" s="46"/>
      <c r="D11" s="20" t="s">
        <v>147</v>
      </c>
      <c r="E11" s="52">
        <v>0</v>
      </c>
      <c r="F11" s="46" t="s">
        <v>425</v>
      </c>
      <c r="H11" s="508"/>
      <c r="I11" s="508"/>
      <c r="J11" s="62" t="s">
        <v>674</v>
      </c>
      <c r="K11" s="63" t="s">
        <v>431</v>
      </c>
      <c r="L11" s="136">
        <f>IF((1.16-0.015*N$4)&gt;0.93,0.93,(1.16-0.015*N$4))</f>
        <v>0.6349999999999999</v>
      </c>
      <c r="M11" s="158">
        <f>IF((L11*1.25)&gt;0.93,0.93,(L11*1.25))</f>
        <v>0.7937499999999998</v>
      </c>
      <c r="N11" s="63" t="s">
        <v>436</v>
      </c>
      <c r="O11" s="159">
        <f t="shared" si="0"/>
        <v>2.204724409448819</v>
      </c>
      <c r="P11" s="116">
        <f t="shared" si="0"/>
        <v>1.7637795275590553</v>
      </c>
      <c r="S11" s="21">
        <v>5</v>
      </c>
      <c r="T11" s="52"/>
      <c r="U11" s="52"/>
      <c r="V11" s="52"/>
      <c r="W11" s="52"/>
      <c r="X11" s="52"/>
      <c r="Y11" s="52"/>
      <c r="Z11" s="52"/>
      <c r="AA11" s="104">
        <f t="shared" si="1"/>
        <v>0</v>
      </c>
    </row>
    <row r="12" spans="1:27" ht="15.75" customHeight="1">
      <c r="A12" s="47" t="s">
        <v>78</v>
      </c>
      <c r="B12" s="48" t="s">
        <v>194</v>
      </c>
      <c r="C12" s="46"/>
      <c r="D12" s="20" t="s">
        <v>509</v>
      </c>
      <c r="E12" s="52">
        <v>0</v>
      </c>
      <c r="F12" s="46" t="s">
        <v>422</v>
      </c>
      <c r="H12" s="507" t="s">
        <v>556</v>
      </c>
      <c r="I12" s="507" t="s">
        <v>20</v>
      </c>
      <c r="J12" s="62" t="s">
        <v>566</v>
      </c>
      <c r="K12" s="397">
        <v>0.7</v>
      </c>
      <c r="L12" s="509"/>
      <c r="M12" s="41">
        <f aca="true" t="shared" si="2" ref="M12:M17">+K12*1.25</f>
        <v>0.875</v>
      </c>
      <c r="N12" s="510">
        <v>2</v>
      </c>
      <c r="O12" s="510"/>
      <c r="P12" s="160">
        <f aca="true" t="shared" si="3" ref="P12:P17">+N12*0.8</f>
        <v>1.6</v>
      </c>
      <c r="S12" s="21">
        <v>6</v>
      </c>
      <c r="T12" s="52"/>
      <c r="U12" s="52"/>
      <c r="V12" s="52"/>
      <c r="W12" s="52"/>
      <c r="X12" s="52"/>
      <c r="Y12" s="52"/>
      <c r="Z12" s="52"/>
      <c r="AA12" s="104">
        <f t="shared" si="1"/>
        <v>0</v>
      </c>
    </row>
    <row r="13" spans="1:27" ht="15.75" customHeight="1">
      <c r="A13" s="47" t="s">
        <v>79</v>
      </c>
      <c r="B13" s="48" t="s">
        <v>195</v>
      </c>
      <c r="C13" s="46"/>
      <c r="D13" s="20" t="s">
        <v>509</v>
      </c>
      <c r="E13" s="52">
        <v>2000</v>
      </c>
      <c r="F13" s="46" t="s">
        <v>423</v>
      </c>
      <c r="H13" s="508"/>
      <c r="I13" s="508"/>
      <c r="J13" s="62" t="s">
        <v>567</v>
      </c>
      <c r="K13" s="397">
        <v>0.7</v>
      </c>
      <c r="L13" s="509"/>
      <c r="M13" s="41">
        <f t="shared" si="2"/>
        <v>0.875</v>
      </c>
      <c r="N13" s="510">
        <v>2</v>
      </c>
      <c r="O13" s="510"/>
      <c r="P13" s="160">
        <f t="shared" si="3"/>
        <v>1.6</v>
      </c>
      <c r="S13" s="21">
        <v>7</v>
      </c>
      <c r="T13" s="21" t="s">
        <v>374</v>
      </c>
      <c r="U13" s="361"/>
      <c r="V13" s="361"/>
      <c r="W13" s="361"/>
      <c r="X13" s="361"/>
      <c r="Y13" s="361"/>
      <c r="Z13" s="361"/>
      <c r="AA13" s="61"/>
    </row>
    <row r="14" spans="1:27" ht="15.75" customHeight="1">
      <c r="A14" s="47" t="s">
        <v>85</v>
      </c>
      <c r="B14" s="48" t="s">
        <v>421</v>
      </c>
      <c r="C14" s="45"/>
      <c r="D14" s="20" t="s">
        <v>30</v>
      </c>
      <c r="E14" s="52">
        <v>0.8</v>
      </c>
      <c r="F14" s="46" t="s">
        <v>459</v>
      </c>
      <c r="H14" s="508"/>
      <c r="I14" s="508"/>
      <c r="J14" s="62" t="s">
        <v>568</v>
      </c>
      <c r="K14" s="397">
        <v>0.7</v>
      </c>
      <c r="L14" s="397"/>
      <c r="M14" s="41">
        <f t="shared" si="2"/>
        <v>0.875</v>
      </c>
      <c r="N14" s="510">
        <v>2</v>
      </c>
      <c r="O14" s="510"/>
      <c r="P14" s="160">
        <f t="shared" si="3"/>
        <v>1.6</v>
      </c>
      <c r="S14" s="21">
        <v>8</v>
      </c>
      <c r="T14" s="21" t="s">
        <v>386</v>
      </c>
      <c r="U14" s="361"/>
      <c r="V14" s="361"/>
      <c r="W14" s="361"/>
      <c r="X14" s="361"/>
      <c r="Y14" s="361"/>
      <c r="Z14" s="361"/>
      <c r="AA14" s="61"/>
    </row>
    <row r="15" spans="1:27" ht="15.75" customHeight="1">
      <c r="A15" s="47" t="s">
        <v>63</v>
      </c>
      <c r="B15" s="48" t="s">
        <v>420</v>
      </c>
      <c r="C15" s="46"/>
      <c r="D15" s="20" t="s">
        <v>30</v>
      </c>
      <c r="E15" s="52">
        <v>2</v>
      </c>
      <c r="F15" s="46" t="s">
        <v>459</v>
      </c>
      <c r="H15" s="508"/>
      <c r="I15" s="508"/>
      <c r="J15" s="62" t="s">
        <v>569</v>
      </c>
      <c r="K15" s="397">
        <v>0.7</v>
      </c>
      <c r="L15" s="397"/>
      <c r="M15" s="41">
        <f t="shared" si="2"/>
        <v>0.875</v>
      </c>
      <c r="N15" s="510">
        <v>2</v>
      </c>
      <c r="O15" s="510"/>
      <c r="P15" s="160">
        <f t="shared" si="3"/>
        <v>1.6</v>
      </c>
      <c r="S15" s="540" t="s">
        <v>373</v>
      </c>
      <c r="T15" s="540"/>
      <c r="U15" s="540"/>
      <c r="V15" s="540"/>
      <c r="W15" s="540"/>
      <c r="X15" s="540"/>
      <c r="Y15" s="540"/>
      <c r="Z15" s="540"/>
      <c r="AA15" s="109">
        <f>SUM(AA7:AA14)</f>
        <v>0</v>
      </c>
    </row>
    <row r="16" spans="1:27" ht="15.75" customHeight="1">
      <c r="A16" s="47" t="s">
        <v>82</v>
      </c>
      <c r="B16" s="48" t="s">
        <v>200</v>
      </c>
      <c r="C16" s="46" t="s">
        <v>179</v>
      </c>
      <c r="D16" s="20" t="s">
        <v>94</v>
      </c>
      <c r="E16" s="55">
        <f>(INDEX('Soil Profile'!A37:'Soil Profile'!F144,E7,5)+INDEX('Soil Profile'!A37:'Soil Profile'!F144,(E7+1),5))/2</f>
        <v>2.986111111111114</v>
      </c>
      <c r="F16" s="54"/>
      <c r="H16" s="508"/>
      <c r="I16" s="508"/>
      <c r="J16" s="62" t="s">
        <v>673</v>
      </c>
      <c r="K16" s="397">
        <v>0.56</v>
      </c>
      <c r="L16" s="397"/>
      <c r="M16" s="41">
        <f t="shared" si="2"/>
        <v>0.7000000000000001</v>
      </c>
      <c r="N16" s="510">
        <v>2.5</v>
      </c>
      <c r="O16" s="510"/>
      <c r="P16" s="160">
        <f t="shared" si="3"/>
        <v>2</v>
      </c>
      <c r="S16" s="541" t="s">
        <v>375</v>
      </c>
      <c r="T16" s="504"/>
      <c r="U16" s="504"/>
      <c r="V16" s="504"/>
      <c r="W16" s="504"/>
      <c r="X16" s="504"/>
      <c r="Y16" s="504"/>
      <c r="Z16" s="504"/>
      <c r="AA16" s="504"/>
    </row>
    <row r="17" spans="1:27" ht="15.75" customHeight="1">
      <c r="A17" s="49" t="s">
        <v>35</v>
      </c>
      <c r="B17" s="48" t="s">
        <v>197</v>
      </c>
      <c r="C17" s="50" t="s">
        <v>201</v>
      </c>
      <c r="D17" s="20" t="s">
        <v>171</v>
      </c>
      <c r="E17" s="56">
        <f>+E16/E7</f>
        <v>0.07465277777777785</v>
      </c>
      <c r="F17" s="54"/>
      <c r="H17" s="508"/>
      <c r="I17" s="508"/>
      <c r="J17" s="62" t="s">
        <v>674</v>
      </c>
      <c r="K17" s="397">
        <v>0.7</v>
      </c>
      <c r="L17" s="397"/>
      <c r="M17" s="41">
        <f t="shared" si="2"/>
        <v>0.875</v>
      </c>
      <c r="N17" s="510">
        <v>2</v>
      </c>
      <c r="O17" s="510"/>
      <c r="P17" s="160">
        <f t="shared" si="3"/>
        <v>1.6</v>
      </c>
      <c r="S17" s="537" t="s">
        <v>377</v>
      </c>
      <c r="T17" s="538"/>
      <c r="U17" s="538"/>
      <c r="V17" s="538"/>
      <c r="W17" s="538"/>
      <c r="X17" s="538"/>
      <c r="Y17" s="538"/>
      <c r="Z17" s="538"/>
      <c r="AA17" s="538"/>
    </row>
    <row r="18" spans="1:28" ht="15.75" customHeight="1">
      <c r="A18" s="47" t="s">
        <v>65</v>
      </c>
      <c r="B18" s="48" t="s">
        <v>362</v>
      </c>
      <c r="C18" s="46" t="s">
        <v>248</v>
      </c>
      <c r="D18" s="20" t="s">
        <v>497</v>
      </c>
      <c r="E18" s="57">
        <f>IF(E10&lt;20,2.5*E5,E5*(5.78-0.35*E10+0.00947*E10*E10))</f>
        <v>71.8305</v>
      </c>
      <c r="F18" s="46" t="str">
        <f>IF(E10&lt;0.1,"Not applicable for cohesive soils",IF(E18&gt;E7,"Shallow foundation under uplift","Deep foundation under uplift"))</f>
        <v>Shallow foundation under uplift</v>
      </c>
      <c r="H18" s="392" t="s">
        <v>406</v>
      </c>
      <c r="I18" s="332"/>
      <c r="J18" s="332"/>
      <c r="K18" s="332"/>
      <c r="L18" s="332"/>
      <c r="M18" s="332"/>
      <c r="N18" s="332"/>
      <c r="O18" s="332"/>
      <c r="P18" s="333"/>
      <c r="R18" s="93"/>
      <c r="S18" s="95"/>
      <c r="T18" s="95"/>
      <c r="U18" s="95"/>
      <c r="V18" s="95"/>
      <c r="W18" s="95"/>
      <c r="X18" s="95"/>
      <c r="Y18" s="95"/>
      <c r="Z18" s="95"/>
      <c r="AA18" s="95"/>
      <c r="AB18" s="93"/>
    </row>
    <row r="19" spans="1:28" ht="15.75" customHeight="1">
      <c r="A19" s="47" t="s">
        <v>35</v>
      </c>
      <c r="B19" s="241" t="s">
        <v>255</v>
      </c>
      <c r="C19" s="46"/>
      <c r="D19" s="20" t="s">
        <v>106</v>
      </c>
      <c r="E19" s="133">
        <v>1</v>
      </c>
      <c r="F19" s="54"/>
      <c r="H19" s="420" t="s">
        <v>440</v>
      </c>
      <c r="I19" s="421"/>
      <c r="J19" s="421"/>
      <c r="K19" s="421"/>
      <c r="L19" s="421"/>
      <c r="M19" s="337"/>
      <c r="N19" s="337"/>
      <c r="O19" s="337"/>
      <c r="P19" s="338"/>
      <c r="R19" s="93"/>
      <c r="S19" s="539" t="s">
        <v>382</v>
      </c>
      <c r="T19" s="539"/>
      <c r="U19" s="539"/>
      <c r="V19" s="539"/>
      <c r="W19" s="539"/>
      <c r="X19" s="539"/>
      <c r="Y19" s="539"/>
      <c r="Z19" s="539"/>
      <c r="AA19" s="539"/>
      <c r="AB19" s="93"/>
    </row>
    <row r="20" spans="1:28" ht="15.75" customHeight="1">
      <c r="A20" s="47" t="s">
        <v>66</v>
      </c>
      <c r="B20" s="48" t="s">
        <v>412</v>
      </c>
      <c r="C20" s="46"/>
      <c r="D20" s="20" t="s">
        <v>30</v>
      </c>
      <c r="E20" s="134">
        <v>0.95</v>
      </c>
      <c r="F20" s="46"/>
      <c r="H20" s="339" t="s">
        <v>439</v>
      </c>
      <c r="I20" s="340"/>
      <c r="J20" s="340"/>
      <c r="K20" s="340"/>
      <c r="L20" s="340"/>
      <c r="M20" s="340"/>
      <c r="N20" s="340"/>
      <c r="O20" s="340"/>
      <c r="P20" s="391"/>
      <c r="R20" s="93"/>
      <c r="S20" s="521" t="s">
        <v>384</v>
      </c>
      <c r="T20" s="263"/>
      <c r="U20" s="263"/>
      <c r="V20" s="263"/>
      <c r="W20" s="263"/>
      <c r="X20" s="263"/>
      <c r="Y20" s="263"/>
      <c r="Z20" s="263"/>
      <c r="AA20" s="522"/>
      <c r="AB20" s="93"/>
    </row>
    <row r="21" spans="1:28" ht="15.75" customHeight="1">
      <c r="A21" s="511" t="s">
        <v>89</v>
      </c>
      <c r="B21" s="548" t="s">
        <v>411</v>
      </c>
      <c r="C21" s="550" t="s">
        <v>415</v>
      </c>
      <c r="D21" s="552" t="s">
        <v>30</v>
      </c>
      <c r="E21" s="545">
        <f>IF(E18&gt;E7,(1+1.105*10^(-5)*E10^2.815*E7/E5),(1+1.105*10^(-5)*E10^2.815*E18/E5))</f>
        <v>1.7012062501922314</v>
      </c>
      <c r="F21" s="504"/>
      <c r="R21" s="93"/>
      <c r="S21" s="523"/>
      <c r="T21" s="524"/>
      <c r="U21" s="524"/>
      <c r="V21" s="524"/>
      <c r="W21" s="524"/>
      <c r="X21" s="524"/>
      <c r="Y21" s="524"/>
      <c r="Z21" s="524"/>
      <c r="AA21" s="525"/>
      <c r="AB21" s="93"/>
    </row>
    <row r="22" spans="1:28" ht="15.75" customHeight="1">
      <c r="A22" s="547"/>
      <c r="B22" s="549"/>
      <c r="C22" s="551"/>
      <c r="D22" s="553"/>
      <c r="E22" s="546"/>
      <c r="F22" s="538"/>
      <c r="R22" s="93"/>
      <c r="S22" s="523"/>
      <c r="T22" s="524"/>
      <c r="U22" s="524"/>
      <c r="V22" s="524"/>
      <c r="W22" s="524"/>
      <c r="X22" s="524"/>
      <c r="Y22" s="524"/>
      <c r="Z22" s="524"/>
      <c r="AA22" s="525"/>
      <c r="AB22" s="93"/>
    </row>
    <row r="23" spans="1:28" ht="15.75" customHeight="1">
      <c r="A23" s="47" t="s">
        <v>64</v>
      </c>
      <c r="B23" s="48" t="s">
        <v>261</v>
      </c>
      <c r="C23" s="46" t="s">
        <v>413</v>
      </c>
      <c r="D23" s="20" t="s">
        <v>30</v>
      </c>
      <c r="E23" s="58">
        <f>IF((1.2*E7/E5&lt;9),(1.2*E7/E5),9)</f>
        <v>3.4285714285714284</v>
      </c>
      <c r="F23" s="46"/>
      <c r="R23" s="93"/>
      <c r="S23" s="523"/>
      <c r="T23" s="524"/>
      <c r="U23" s="524"/>
      <c r="V23" s="524"/>
      <c r="W23" s="524"/>
      <c r="X23" s="524"/>
      <c r="Y23" s="524"/>
      <c r="Z23" s="524"/>
      <c r="AA23" s="525"/>
      <c r="AB23" s="93"/>
    </row>
    <row r="24" spans="1:28" ht="15.75" customHeight="1">
      <c r="A24" s="511" t="s">
        <v>91</v>
      </c>
      <c r="B24" s="46" t="s">
        <v>838</v>
      </c>
      <c r="C24" s="46" t="s">
        <v>839</v>
      </c>
      <c r="D24" s="20" t="s">
        <v>509</v>
      </c>
      <c r="E24" s="59">
        <f>MAX(E25:E30)</f>
        <v>3358.2825318937166</v>
      </c>
      <c r="F24" s="100" t="s">
        <v>446</v>
      </c>
      <c r="R24" s="93"/>
      <c r="S24" s="523"/>
      <c r="T24" s="524"/>
      <c r="U24" s="524"/>
      <c r="V24" s="524"/>
      <c r="W24" s="524"/>
      <c r="X24" s="524"/>
      <c r="Y24" s="524"/>
      <c r="Z24" s="524"/>
      <c r="AA24" s="525"/>
      <c r="AB24" s="93"/>
    </row>
    <row r="25" spans="1:28" ht="15.75" customHeight="1">
      <c r="A25" s="516"/>
      <c r="B25" s="46" t="s">
        <v>249</v>
      </c>
      <c r="C25" s="102" t="s">
        <v>256</v>
      </c>
      <c r="D25" s="20" t="s">
        <v>509</v>
      </c>
      <c r="E25" s="59">
        <f>IF(AND(E$11&lt;0.001,E$6&lt;0.001,E$18&gt;E$7),E$17*E$7*(3.1416*E$7*E$21*E$5*E$20*(TAN(E$10*3.1416/180))/2+E$5*E$5*3.1416/4-E$8),0)</f>
        <v>3358.2825318937166</v>
      </c>
      <c r="F25" s="54" t="s">
        <v>264</v>
      </c>
      <c r="R25" s="93"/>
      <c r="S25" s="526"/>
      <c r="T25" s="519"/>
      <c r="U25" s="519"/>
      <c r="V25" s="519"/>
      <c r="W25" s="519"/>
      <c r="X25" s="519"/>
      <c r="Y25" s="519"/>
      <c r="Z25" s="519"/>
      <c r="AA25" s="520"/>
      <c r="AB25" s="93"/>
    </row>
    <row r="26" spans="1:28" ht="15.75" customHeight="1">
      <c r="A26" s="516"/>
      <c r="B26" s="46" t="s">
        <v>250</v>
      </c>
      <c r="C26" s="102" t="s">
        <v>257</v>
      </c>
      <c r="D26" s="20" t="s">
        <v>509</v>
      </c>
      <c r="E26" s="59">
        <f>IF(AND(E$11&lt;0.001,E$6&gt;0.1,E$18&gt;E$7),E$17*E$7*(E$7*(2*E$21*E$5+E$6-E$5)*E$20*(TAN(E$10*3.1416/180))+E$5*E$6-E$8),0)</f>
        <v>0</v>
      </c>
      <c r="F26" s="54" t="s">
        <v>264</v>
      </c>
      <c r="R26" s="93"/>
      <c r="S26" s="514" t="s">
        <v>365</v>
      </c>
      <c r="T26" s="514" t="s">
        <v>372</v>
      </c>
      <c r="U26" s="514" t="s">
        <v>376</v>
      </c>
      <c r="V26" s="528" t="s">
        <v>366</v>
      </c>
      <c r="W26" s="529"/>
      <c r="X26" s="528" t="s">
        <v>367</v>
      </c>
      <c r="Y26" s="260"/>
      <c r="Z26" s="529"/>
      <c r="AA26" s="514" t="s">
        <v>368</v>
      </c>
      <c r="AB26" s="93"/>
    </row>
    <row r="27" spans="1:28" ht="15.75" customHeight="1">
      <c r="A27" s="516"/>
      <c r="B27" s="46" t="s">
        <v>251</v>
      </c>
      <c r="C27" s="102" t="s">
        <v>258</v>
      </c>
      <c r="D27" s="20" t="s">
        <v>509</v>
      </c>
      <c r="E27" s="59">
        <f>IF(AND(E$11&lt;0.001,E$6&lt;0.001,E$18&lt;E$7),E$17*(E$18*3.1416*(E$7-E$18/2)*E$21*E$5*E$20*(TAN(E$10*3.1416/180))+E$7*E$5*E$5*3.1416/4-E$7*E$8),0)</f>
        <v>0</v>
      </c>
      <c r="F27" s="54" t="s">
        <v>263</v>
      </c>
      <c r="R27" s="93"/>
      <c r="S27" s="527"/>
      <c r="T27" s="527"/>
      <c r="U27" s="527"/>
      <c r="V27" s="530"/>
      <c r="W27" s="531"/>
      <c r="X27" s="530"/>
      <c r="Y27" s="532"/>
      <c r="Z27" s="531"/>
      <c r="AA27" s="527"/>
      <c r="AB27" s="93"/>
    </row>
    <row r="28" spans="1:28" ht="15.75" customHeight="1">
      <c r="A28" s="516"/>
      <c r="B28" s="46" t="s">
        <v>252</v>
      </c>
      <c r="C28" s="102" t="s">
        <v>414</v>
      </c>
      <c r="D28" s="20" t="s">
        <v>509</v>
      </c>
      <c r="E28" s="59">
        <f>IF(AND(E$11&lt;0.001,E$6&gt;0.1,E$18&lt;E$7),E$17*(E$18*(2*E$7-E$18)*(2*E$21*E$5+E$6-E$5)*E$20*(TAN(E$10*3.1416/180))+E$7*E$5*E$6-E$7*E$8),0)</f>
        <v>0</v>
      </c>
      <c r="F28" s="46" t="s">
        <v>263</v>
      </c>
      <c r="R28" s="93"/>
      <c r="S28" s="527"/>
      <c r="T28" s="527"/>
      <c r="U28" s="527"/>
      <c r="V28" s="514" t="s">
        <v>369</v>
      </c>
      <c r="W28" s="514" t="s">
        <v>370</v>
      </c>
      <c r="X28" s="514" t="s">
        <v>371</v>
      </c>
      <c r="Y28" s="514" t="s">
        <v>500</v>
      </c>
      <c r="Z28" s="514" t="s">
        <v>492</v>
      </c>
      <c r="AA28" s="527"/>
      <c r="AB28" s="93"/>
    </row>
    <row r="29" spans="1:28" ht="15.75" customHeight="1">
      <c r="A29" s="516"/>
      <c r="B29" s="46" t="s">
        <v>253</v>
      </c>
      <c r="C29" s="102" t="s">
        <v>259</v>
      </c>
      <c r="D29" s="20" t="s">
        <v>509</v>
      </c>
      <c r="E29" s="59">
        <f>IF(AND(E$10&lt;0.001,E$6&lt;0.01),E$17*E$7*(E$5*E$5*3.1416/4-E$8)+E$23*E$11*E$5*E$5*3.1416/4,0)</f>
        <v>0</v>
      </c>
      <c r="F29" s="46" t="s">
        <v>262</v>
      </c>
      <c r="R29" s="93"/>
      <c r="S29" s="527"/>
      <c r="T29" s="527"/>
      <c r="U29" s="515"/>
      <c r="V29" s="515"/>
      <c r="W29" s="515"/>
      <c r="X29" s="515"/>
      <c r="Y29" s="515"/>
      <c r="Z29" s="515"/>
      <c r="AA29" s="515"/>
      <c r="AB29" s="93"/>
    </row>
    <row r="30" spans="1:28" ht="15.75" customHeight="1">
      <c r="A30" s="517"/>
      <c r="B30" s="46" t="s">
        <v>254</v>
      </c>
      <c r="C30" s="102" t="s">
        <v>260</v>
      </c>
      <c r="D30" s="20" t="s">
        <v>509</v>
      </c>
      <c r="E30" s="59">
        <f>IF(AND(E$10&lt;0.001,E$6&gt;0.1),E$17*E$7*(E$5*E$6-E$8)+E$23*E$11*E$5*E$6,0)</f>
        <v>0</v>
      </c>
      <c r="F30" s="46" t="s">
        <v>262</v>
      </c>
      <c r="R30" s="93"/>
      <c r="S30" s="515"/>
      <c r="T30" s="515"/>
      <c r="U30" s="105" t="s">
        <v>108</v>
      </c>
      <c r="V30" s="105" t="s">
        <v>497</v>
      </c>
      <c r="W30" s="105" t="s">
        <v>497</v>
      </c>
      <c r="X30" s="105" t="s">
        <v>497</v>
      </c>
      <c r="Y30" s="105" t="s">
        <v>497</v>
      </c>
      <c r="Z30" s="105" t="s">
        <v>497</v>
      </c>
      <c r="AA30" s="105" t="s">
        <v>95</v>
      </c>
      <c r="AB30" s="93"/>
    </row>
    <row r="31" spans="1:28" ht="15.75" customHeight="1">
      <c r="A31" s="47" t="s">
        <v>467</v>
      </c>
      <c r="B31" s="46" t="s">
        <v>417</v>
      </c>
      <c r="C31" s="50" t="s">
        <v>419</v>
      </c>
      <c r="D31" s="20" t="s">
        <v>509</v>
      </c>
      <c r="E31" s="59">
        <f>+E19*E9+E24/E15</f>
        <v>1779.1412659468583</v>
      </c>
      <c r="F31" s="46" t="s">
        <v>267</v>
      </c>
      <c r="R31" s="93"/>
      <c r="S31" s="106">
        <v>1</v>
      </c>
      <c r="T31" s="107" t="s">
        <v>378</v>
      </c>
      <c r="U31" s="107">
        <v>34</v>
      </c>
      <c r="V31" s="107"/>
      <c r="W31" s="107"/>
      <c r="X31" s="107">
        <v>48</v>
      </c>
      <c r="Y31" s="107">
        <v>4.5</v>
      </c>
      <c r="Z31" s="107">
        <v>5.5</v>
      </c>
      <c r="AA31" s="57">
        <f aca="true" t="shared" si="4" ref="AA31:AA36">+(U31/1728)*(V31*W31^2*3.1416/4+X31*Y31*Z31)</f>
        <v>23.375</v>
      </c>
      <c r="AB31" s="93"/>
    </row>
    <row r="32" spans="1:28" ht="15.75" customHeight="1">
      <c r="A32" s="47" t="s">
        <v>466</v>
      </c>
      <c r="B32" s="46" t="s">
        <v>416</v>
      </c>
      <c r="C32" s="50" t="s">
        <v>418</v>
      </c>
      <c r="D32" s="20" t="s">
        <v>509</v>
      </c>
      <c r="E32" s="59">
        <f>+E19*E9+E14*E24</f>
        <v>2786.6260255149737</v>
      </c>
      <c r="F32" s="46" t="s">
        <v>266</v>
      </c>
      <c r="R32" s="93"/>
      <c r="S32" s="106">
        <v>2</v>
      </c>
      <c r="T32" s="107" t="s">
        <v>379</v>
      </c>
      <c r="U32" s="107">
        <v>150</v>
      </c>
      <c r="V32" s="107">
        <v>12</v>
      </c>
      <c r="W32" s="107">
        <v>18</v>
      </c>
      <c r="X32" s="107"/>
      <c r="Y32" s="107"/>
      <c r="Z32" s="107"/>
      <c r="AA32" s="57">
        <f t="shared" si="4"/>
        <v>265.0725</v>
      </c>
      <c r="AB32" s="93"/>
    </row>
    <row r="33" spans="1:28" ht="15.75" customHeight="1">
      <c r="A33" s="415" t="s">
        <v>36</v>
      </c>
      <c r="B33" s="485"/>
      <c r="C33" s="485"/>
      <c r="D33" s="486"/>
      <c r="E33" s="60" t="str">
        <f>IF(AND(E31&gt;E12,E32&gt;E13),"Yes","NO")</f>
        <v>Yes</v>
      </c>
      <c r="F33" s="54"/>
      <c r="R33" s="93"/>
      <c r="S33" s="106">
        <v>3</v>
      </c>
      <c r="T33" s="107" t="s">
        <v>380</v>
      </c>
      <c r="U33" s="107">
        <v>-150</v>
      </c>
      <c r="V33" s="107"/>
      <c r="W33" s="107"/>
      <c r="X33" s="107">
        <v>12</v>
      </c>
      <c r="Y33" s="107">
        <v>4.5</v>
      </c>
      <c r="Z33" s="107">
        <v>5.5</v>
      </c>
      <c r="AA33" s="57">
        <f t="shared" si="4"/>
        <v>-25.78125</v>
      </c>
      <c r="AB33" s="93"/>
    </row>
    <row r="34" spans="18:28" ht="14.25" customHeight="1">
      <c r="R34" s="93"/>
      <c r="S34" s="106">
        <v>4</v>
      </c>
      <c r="T34" s="107" t="s">
        <v>381</v>
      </c>
      <c r="U34" s="107">
        <v>490</v>
      </c>
      <c r="V34" s="107">
        <v>32</v>
      </c>
      <c r="W34" s="107">
        <v>0.5</v>
      </c>
      <c r="X34" s="107"/>
      <c r="Y34" s="107"/>
      <c r="Z34" s="107"/>
      <c r="AA34" s="57">
        <f t="shared" si="4"/>
        <v>1.7816944444444445</v>
      </c>
      <c r="AB34" s="93"/>
    </row>
    <row r="35" spans="18:28" ht="14.25" customHeight="1">
      <c r="R35" s="93"/>
      <c r="S35" s="106">
        <v>5</v>
      </c>
      <c r="T35" s="107" t="s">
        <v>383</v>
      </c>
      <c r="U35" s="107">
        <v>0</v>
      </c>
      <c r="V35" s="107">
        <v>6</v>
      </c>
      <c r="W35" s="107">
        <v>18</v>
      </c>
      <c r="X35" s="107"/>
      <c r="Y35" s="107"/>
      <c r="Z35" s="107"/>
      <c r="AA35" s="57">
        <f t="shared" si="4"/>
        <v>0</v>
      </c>
      <c r="AB35" s="93"/>
    </row>
    <row r="36" spans="1:27" s="71" customFormat="1" ht="14.25" customHeight="1">
      <c r="A36" s="69"/>
      <c r="B36" s="74"/>
      <c r="C36" s="74"/>
      <c r="D36" s="70"/>
      <c r="E36" s="70"/>
      <c r="F36" s="74"/>
      <c r="S36" s="106">
        <v>6</v>
      </c>
      <c r="T36" s="107"/>
      <c r="U36" s="107"/>
      <c r="V36" s="107"/>
      <c r="W36" s="107"/>
      <c r="X36" s="107"/>
      <c r="Y36" s="107"/>
      <c r="Z36" s="107"/>
      <c r="AA36" s="57">
        <f t="shared" si="4"/>
        <v>0</v>
      </c>
    </row>
    <row r="37" spans="1:27" s="71" customFormat="1" ht="14.25" customHeight="1">
      <c r="A37" s="69"/>
      <c r="B37" s="74"/>
      <c r="C37" s="74"/>
      <c r="D37" s="70"/>
      <c r="E37" s="70"/>
      <c r="F37" s="74"/>
      <c r="S37" s="106">
        <v>7</v>
      </c>
      <c r="T37" s="106" t="s">
        <v>374</v>
      </c>
      <c r="U37" s="106"/>
      <c r="V37" s="106"/>
      <c r="W37" s="106"/>
      <c r="X37" s="106"/>
      <c r="Y37" s="106"/>
      <c r="Z37" s="106"/>
      <c r="AA37" s="108"/>
    </row>
    <row r="38" spans="1:27" s="71" customFormat="1" ht="14.25" customHeight="1">
      <c r="A38" s="70"/>
      <c r="B38" s="74"/>
      <c r="C38" s="103"/>
      <c r="D38" s="72"/>
      <c r="E38" s="73"/>
      <c r="F38" s="74"/>
      <c r="S38" s="106">
        <v>8</v>
      </c>
      <c r="T38" s="106" t="s">
        <v>386</v>
      </c>
      <c r="U38" s="106"/>
      <c r="V38" s="106"/>
      <c r="W38" s="106"/>
      <c r="X38" s="106"/>
      <c r="Y38" s="106"/>
      <c r="Z38" s="106"/>
      <c r="AA38" s="108"/>
    </row>
    <row r="39" spans="1:27" s="71" customFormat="1" ht="14.25" customHeight="1">
      <c r="A39" s="70"/>
      <c r="B39" s="74"/>
      <c r="C39" s="103"/>
      <c r="D39" s="72"/>
      <c r="E39" s="73"/>
      <c r="F39" s="74"/>
      <c r="S39" s="534" t="s">
        <v>373</v>
      </c>
      <c r="T39" s="535"/>
      <c r="U39" s="535"/>
      <c r="V39" s="535"/>
      <c r="W39" s="535"/>
      <c r="X39" s="535"/>
      <c r="Y39" s="535"/>
      <c r="Z39" s="536"/>
      <c r="AA39" s="110">
        <f>SUM(AA31:AA38)</f>
        <v>264.44794444444443</v>
      </c>
    </row>
    <row r="40" spans="1:27" s="71" customFormat="1" ht="14.25">
      <c r="A40" s="70"/>
      <c r="B40" s="74"/>
      <c r="C40" s="103"/>
      <c r="D40" s="72"/>
      <c r="E40" s="73"/>
      <c r="F40" s="74"/>
      <c r="S40" s="533" t="s">
        <v>375</v>
      </c>
      <c r="T40" s="263"/>
      <c r="U40" s="263"/>
      <c r="V40" s="263"/>
      <c r="W40" s="263"/>
      <c r="X40" s="263"/>
      <c r="Y40" s="263"/>
      <c r="Z40" s="263"/>
      <c r="AA40" s="522"/>
    </row>
    <row r="41" spans="1:27" s="71" customFormat="1" ht="15.75" customHeight="1">
      <c r="A41" s="75"/>
      <c r="B41" s="74"/>
      <c r="C41" s="74"/>
      <c r="D41" s="98"/>
      <c r="E41" s="98"/>
      <c r="F41" s="74"/>
      <c r="S41" s="518" t="s">
        <v>377</v>
      </c>
      <c r="T41" s="519"/>
      <c r="U41" s="519"/>
      <c r="V41" s="519"/>
      <c r="W41" s="519"/>
      <c r="X41" s="519"/>
      <c r="Y41" s="519"/>
      <c r="Z41" s="519"/>
      <c r="AA41" s="520"/>
    </row>
    <row r="42" spans="1:6" s="71" customFormat="1" ht="12.75">
      <c r="A42" s="76"/>
      <c r="B42" s="103"/>
      <c r="C42" s="103"/>
      <c r="D42" s="99"/>
      <c r="E42" s="99"/>
      <c r="F42" s="74"/>
    </row>
    <row r="43" spans="1:6" s="71" customFormat="1" ht="12.75" customHeight="1">
      <c r="A43" s="69"/>
      <c r="B43" s="74"/>
      <c r="C43" s="74"/>
      <c r="D43" s="70"/>
      <c r="E43" s="70"/>
      <c r="F43" s="74"/>
    </row>
    <row r="44" spans="1:6" s="71" customFormat="1" ht="12.75">
      <c r="A44" s="77"/>
      <c r="B44" s="78"/>
      <c r="C44" s="74"/>
      <c r="D44" s="70"/>
      <c r="E44" s="70"/>
      <c r="F44" s="74"/>
    </row>
    <row r="45" spans="1:6" s="71" customFormat="1" ht="12.75">
      <c r="A45" s="79"/>
      <c r="B45" s="78"/>
      <c r="C45" s="74"/>
      <c r="D45" s="70"/>
      <c r="E45" s="70"/>
      <c r="F45" s="74"/>
    </row>
    <row r="46" spans="1:6" s="71" customFormat="1" ht="12.75">
      <c r="A46" s="79"/>
      <c r="B46" s="78"/>
      <c r="C46" s="74"/>
      <c r="D46" s="70"/>
      <c r="E46" s="70"/>
      <c r="F46" s="74"/>
    </row>
    <row r="47" spans="1:6" s="71" customFormat="1" ht="12.75">
      <c r="A47" s="79"/>
      <c r="B47" s="78"/>
      <c r="C47" s="74"/>
      <c r="D47" s="70"/>
      <c r="E47" s="70"/>
      <c r="F47" s="74"/>
    </row>
    <row r="48" spans="1:6" s="71" customFormat="1" ht="12.75">
      <c r="A48" s="69"/>
      <c r="B48" s="74"/>
      <c r="C48" s="74"/>
      <c r="D48" s="70"/>
      <c r="E48" s="70"/>
      <c r="F48" s="74"/>
    </row>
    <row r="49" spans="1:6" s="83" customFormat="1" ht="15">
      <c r="A49" s="80"/>
      <c r="B49" s="81"/>
      <c r="C49" s="81"/>
      <c r="D49" s="82"/>
      <c r="E49" s="82"/>
      <c r="F49" s="81"/>
    </row>
    <row r="50" spans="1:6" s="83" customFormat="1" ht="15">
      <c r="A50" s="69"/>
      <c r="B50" s="74"/>
      <c r="C50" s="74"/>
      <c r="D50" s="70"/>
      <c r="E50" s="70"/>
      <c r="F50" s="81"/>
    </row>
    <row r="51" spans="1:6" s="71" customFormat="1" ht="12.75">
      <c r="A51" s="77"/>
      <c r="B51" s="74"/>
      <c r="C51" s="84"/>
      <c r="D51" s="70"/>
      <c r="E51" s="85"/>
      <c r="F51" s="74"/>
    </row>
    <row r="52" spans="1:6" s="71" customFormat="1" ht="12.75">
      <c r="A52" s="86"/>
      <c r="B52" s="78"/>
      <c r="C52" s="74"/>
      <c r="D52" s="70"/>
      <c r="E52" s="70"/>
      <c r="F52" s="74"/>
    </row>
    <row r="53" spans="1:6" s="71" customFormat="1" ht="12.75">
      <c r="A53" s="79"/>
      <c r="B53" s="78"/>
      <c r="C53" s="74"/>
      <c r="D53" s="70"/>
      <c r="E53" s="85"/>
      <c r="F53" s="74"/>
    </row>
    <row r="54" spans="1:6" s="71" customFormat="1" ht="12.75">
      <c r="A54" s="79"/>
      <c r="B54" s="87"/>
      <c r="C54" s="74"/>
      <c r="D54" s="70"/>
      <c r="E54" s="85"/>
      <c r="F54" s="74"/>
    </row>
    <row r="55" spans="1:6" s="71" customFormat="1" ht="12.75">
      <c r="A55" s="79"/>
      <c r="B55" s="78"/>
      <c r="C55" s="74"/>
      <c r="D55" s="70"/>
      <c r="E55" s="85"/>
      <c r="F55" s="74"/>
    </row>
    <row r="56" spans="1:6" s="71" customFormat="1" ht="12.75">
      <c r="A56" s="79"/>
      <c r="B56" s="78"/>
      <c r="C56" s="74"/>
      <c r="D56" s="70"/>
      <c r="E56" s="85"/>
      <c r="F56" s="74"/>
    </row>
    <row r="57" spans="1:6" s="71" customFormat="1" ht="12.75">
      <c r="A57" s="79"/>
      <c r="B57" s="78"/>
      <c r="C57" s="74"/>
      <c r="D57" s="70"/>
      <c r="E57" s="85"/>
      <c r="F57" s="74"/>
    </row>
    <row r="58" spans="1:6" s="71" customFormat="1" ht="12.75">
      <c r="A58" s="69"/>
      <c r="B58" s="74"/>
      <c r="C58" s="74"/>
      <c r="D58" s="70"/>
      <c r="E58" s="70"/>
      <c r="F58" s="74"/>
    </row>
    <row r="59" spans="1:6" s="71" customFormat="1" ht="15">
      <c r="A59" s="80"/>
      <c r="B59" s="81"/>
      <c r="C59" s="74"/>
      <c r="D59" s="70"/>
      <c r="E59" s="70"/>
      <c r="F59" s="74"/>
    </row>
    <row r="60" spans="1:6" s="71" customFormat="1" ht="12.75">
      <c r="A60" s="69"/>
      <c r="B60" s="74"/>
      <c r="C60" s="74"/>
      <c r="D60" s="70"/>
      <c r="E60" s="70"/>
      <c r="F60" s="74"/>
    </row>
    <row r="61" spans="1:6" s="71" customFormat="1" ht="12.75">
      <c r="A61" s="77"/>
      <c r="B61" s="74"/>
      <c r="C61" s="84"/>
      <c r="D61" s="70"/>
      <c r="E61" s="85"/>
      <c r="F61" s="74"/>
    </row>
    <row r="62" spans="1:6" s="71" customFormat="1" ht="12.75">
      <c r="A62" s="79"/>
      <c r="B62" s="78"/>
      <c r="C62" s="74"/>
      <c r="D62" s="88"/>
      <c r="E62" s="70"/>
      <c r="F62" s="74"/>
    </row>
    <row r="63" spans="1:6" s="71" customFormat="1" ht="12.75">
      <c r="A63" s="77"/>
      <c r="B63" s="74"/>
      <c r="C63" s="84"/>
      <c r="D63" s="70"/>
      <c r="E63" s="89"/>
      <c r="F63" s="74"/>
    </row>
    <row r="64" spans="1:6" s="71" customFormat="1" ht="12.75">
      <c r="A64" s="79"/>
      <c r="B64" s="90"/>
      <c r="C64" s="74"/>
      <c r="D64" s="88"/>
      <c r="E64" s="70"/>
      <c r="F64" s="74"/>
    </row>
    <row r="65" spans="1:6" s="71" customFormat="1" ht="12.75">
      <c r="A65" s="79"/>
      <c r="B65" s="90"/>
      <c r="C65" s="84"/>
      <c r="D65" s="88"/>
      <c r="E65" s="85"/>
      <c r="F65" s="74"/>
    </row>
    <row r="66" spans="1:6" s="71" customFormat="1" ht="12.75">
      <c r="A66" s="79"/>
      <c r="B66" s="78"/>
      <c r="C66" s="74"/>
      <c r="D66" s="70"/>
      <c r="E66" s="70"/>
      <c r="F66" s="74"/>
    </row>
    <row r="67" spans="1:6" s="71" customFormat="1" ht="12.75">
      <c r="A67" s="86"/>
      <c r="B67" s="78"/>
      <c r="C67" s="74"/>
      <c r="D67" s="70"/>
      <c r="E67" s="85"/>
      <c r="F67" s="74"/>
    </row>
    <row r="68" spans="1:6" s="71" customFormat="1" ht="12.75">
      <c r="A68" s="79"/>
      <c r="B68" s="78"/>
      <c r="C68" s="74"/>
      <c r="D68" s="70"/>
      <c r="E68" s="91"/>
      <c r="F68" s="74"/>
    </row>
    <row r="69" spans="1:6" s="71" customFormat="1" ht="12.75">
      <c r="A69" s="69"/>
      <c r="B69" s="74"/>
      <c r="C69" s="74"/>
      <c r="D69" s="70"/>
      <c r="E69" s="70"/>
      <c r="F69" s="74"/>
    </row>
    <row r="70" spans="1:6" s="71" customFormat="1" ht="15">
      <c r="A70" s="80"/>
      <c r="B70" s="81"/>
      <c r="C70" s="74"/>
      <c r="D70" s="70"/>
      <c r="E70" s="70"/>
      <c r="F70" s="74"/>
    </row>
    <row r="71" spans="1:6" s="71" customFormat="1" ht="12.75">
      <c r="A71" s="69"/>
      <c r="B71" s="74"/>
      <c r="C71" s="74"/>
      <c r="D71" s="70"/>
      <c r="E71" s="70"/>
      <c r="F71" s="74"/>
    </row>
    <row r="72" spans="1:6" s="71" customFormat="1" ht="17.25" customHeight="1">
      <c r="A72" s="77"/>
      <c r="B72" s="74"/>
      <c r="C72" s="84"/>
      <c r="D72" s="70"/>
      <c r="E72" s="85"/>
      <c r="F72" s="74"/>
    </row>
    <row r="73" spans="1:6" s="71" customFormat="1" ht="12.75">
      <c r="A73" s="79"/>
      <c r="B73" s="78"/>
      <c r="C73" s="74"/>
      <c r="D73" s="70"/>
      <c r="E73" s="70"/>
      <c r="F73" s="74"/>
    </row>
    <row r="74" spans="1:6" s="71" customFormat="1" ht="12.75">
      <c r="A74" s="79"/>
      <c r="B74" s="78"/>
      <c r="C74" s="74"/>
      <c r="D74" s="70"/>
      <c r="E74" s="70"/>
      <c r="F74" s="74"/>
    </row>
    <row r="75" spans="1:6" s="71" customFormat="1" ht="12.75">
      <c r="A75" s="69"/>
      <c r="B75" s="74"/>
      <c r="C75" s="74"/>
      <c r="D75" s="70"/>
      <c r="E75" s="70"/>
      <c r="F75" s="74"/>
    </row>
    <row r="76" spans="1:6" s="71" customFormat="1" ht="15">
      <c r="A76" s="80"/>
      <c r="B76" s="74"/>
      <c r="C76" s="74"/>
      <c r="D76" s="70"/>
      <c r="E76" s="70"/>
      <c r="F76" s="74"/>
    </row>
    <row r="77" spans="1:6" s="71" customFormat="1" ht="12.75">
      <c r="A77" s="69"/>
      <c r="B77" s="74"/>
      <c r="C77" s="74"/>
      <c r="D77" s="70"/>
      <c r="E77" s="70"/>
      <c r="F77" s="74"/>
    </row>
    <row r="78" spans="1:6" s="71" customFormat="1" ht="12.75">
      <c r="A78" s="77"/>
      <c r="B78" s="74"/>
      <c r="C78" s="84"/>
      <c r="D78" s="70"/>
      <c r="E78" s="85"/>
      <c r="F78" s="74"/>
    </row>
    <row r="79" spans="1:6" s="71" customFormat="1" ht="12.75">
      <c r="A79" s="79"/>
      <c r="B79" s="78"/>
      <c r="C79" s="74"/>
      <c r="D79" s="70"/>
      <c r="E79" s="70"/>
      <c r="F79" s="74"/>
    </row>
    <row r="80" spans="1:6" s="71" customFormat="1" ht="12.75">
      <c r="A80" s="79"/>
      <c r="B80" s="78"/>
      <c r="C80" s="74"/>
      <c r="D80" s="70"/>
      <c r="E80" s="70"/>
      <c r="F80" s="74"/>
    </row>
    <row r="81" spans="1:6" s="71" customFormat="1" ht="12.75">
      <c r="A81" s="79"/>
      <c r="B81" s="78"/>
      <c r="C81" s="74"/>
      <c r="D81" s="70"/>
      <c r="E81" s="70"/>
      <c r="F81" s="74"/>
    </row>
    <row r="82" spans="1:6" s="71" customFormat="1" ht="15">
      <c r="A82" s="80"/>
      <c r="B82" s="74"/>
      <c r="C82" s="74"/>
      <c r="D82" s="70"/>
      <c r="E82" s="70"/>
      <c r="F82" s="74"/>
    </row>
    <row r="83" spans="1:6" s="71" customFormat="1" ht="12.75">
      <c r="A83" s="69"/>
      <c r="B83" s="74"/>
      <c r="C83" s="74"/>
      <c r="D83" s="70"/>
      <c r="E83" s="70"/>
      <c r="F83" s="74"/>
    </row>
    <row r="84" spans="1:6" s="71" customFormat="1" ht="12.75">
      <c r="A84" s="77"/>
      <c r="B84" s="74"/>
      <c r="C84" s="84"/>
      <c r="D84" s="70"/>
      <c r="E84" s="85"/>
      <c r="F84" s="74"/>
    </row>
    <row r="85" spans="1:6" s="71" customFormat="1" ht="12.75">
      <c r="A85" s="79"/>
      <c r="B85" s="78"/>
      <c r="C85" s="74"/>
      <c r="D85" s="70"/>
      <c r="E85" s="70"/>
      <c r="F85" s="74"/>
    </row>
    <row r="86" spans="1:6" s="71" customFormat="1" ht="12.75">
      <c r="A86" s="79"/>
      <c r="B86" s="78"/>
      <c r="C86" s="74"/>
      <c r="D86" s="70"/>
      <c r="E86" s="70" t="s">
        <v>449</v>
      </c>
      <c r="F86" s="74"/>
    </row>
    <row r="87" spans="1:6" s="71" customFormat="1" ht="12.75">
      <c r="A87" s="79"/>
      <c r="B87" s="78"/>
      <c r="C87" s="74"/>
      <c r="D87" s="70"/>
      <c r="E87" s="92"/>
      <c r="F87" s="74"/>
    </row>
    <row r="88" spans="1:6" s="71" customFormat="1" ht="12.75">
      <c r="A88" s="69"/>
      <c r="B88" s="74"/>
      <c r="C88" s="74"/>
      <c r="D88" s="70"/>
      <c r="E88" s="70"/>
      <c r="F88" s="74"/>
    </row>
    <row r="89" spans="1:6" s="71" customFormat="1" ht="15">
      <c r="A89" s="80"/>
      <c r="B89" s="74"/>
      <c r="C89" s="74"/>
      <c r="D89" s="70"/>
      <c r="E89" s="70"/>
      <c r="F89" s="74"/>
    </row>
    <row r="90" spans="1:6" s="71" customFormat="1" ht="12.75">
      <c r="A90" s="69"/>
      <c r="B90" s="74"/>
      <c r="C90" s="74"/>
      <c r="D90" s="70"/>
      <c r="E90" s="70"/>
      <c r="F90" s="74"/>
    </row>
    <row r="91" spans="1:6" s="71" customFormat="1" ht="12.75">
      <c r="A91" s="77"/>
      <c r="B91" s="74"/>
      <c r="C91" s="84"/>
      <c r="D91" s="70"/>
      <c r="E91" s="85"/>
      <c r="F91" s="74"/>
    </row>
    <row r="92" spans="1:6" s="71" customFormat="1" ht="12.75">
      <c r="A92" s="79"/>
      <c r="B92" s="78"/>
      <c r="C92" s="74"/>
      <c r="D92" s="70"/>
      <c r="E92" s="70"/>
      <c r="F92" s="74"/>
    </row>
    <row r="93" spans="1:6" s="71" customFormat="1" ht="12.75">
      <c r="A93" s="79"/>
      <c r="B93" s="78"/>
      <c r="C93" s="74"/>
      <c r="D93" s="70"/>
      <c r="E93" s="70"/>
      <c r="F93" s="74"/>
    </row>
    <row r="94" spans="1:6" s="71" customFormat="1" ht="12.75">
      <c r="A94" s="79"/>
      <c r="B94" s="78"/>
      <c r="C94" s="74"/>
      <c r="D94" s="70"/>
      <c r="E94" s="92"/>
      <c r="F94" s="74"/>
    </row>
    <row r="95" spans="1:6" s="71" customFormat="1" ht="12.75">
      <c r="A95" s="69"/>
      <c r="B95" s="74"/>
      <c r="C95" s="74"/>
      <c r="D95" s="70"/>
      <c r="E95" s="70"/>
      <c r="F95" s="74"/>
    </row>
    <row r="96" spans="1:6" s="71" customFormat="1" ht="15">
      <c r="A96" s="80"/>
      <c r="B96" s="74"/>
      <c r="C96" s="74"/>
      <c r="D96" s="70"/>
      <c r="E96" s="70"/>
      <c r="F96" s="74"/>
    </row>
    <row r="97" spans="1:6" s="71" customFormat="1" ht="12.75">
      <c r="A97" s="69"/>
      <c r="B97" s="74"/>
      <c r="C97" s="74"/>
      <c r="D97" s="70"/>
      <c r="E97" s="70"/>
      <c r="F97" s="74"/>
    </row>
    <row r="98" spans="1:6" s="71" customFormat="1" ht="12.75">
      <c r="A98" s="77"/>
      <c r="B98" s="74"/>
      <c r="C98" s="84"/>
      <c r="D98" s="70"/>
      <c r="E98" s="85"/>
      <c r="F98" s="74"/>
    </row>
    <row r="99" spans="1:6" s="71" customFormat="1" ht="12.75">
      <c r="A99" s="79"/>
      <c r="B99" s="78"/>
      <c r="C99" s="74"/>
      <c r="D99" s="70"/>
      <c r="E99" s="70"/>
      <c r="F99" s="74"/>
    </row>
    <row r="100" spans="1:6" s="71" customFormat="1" ht="12.75">
      <c r="A100" s="79"/>
      <c r="B100" s="78"/>
      <c r="C100" s="74"/>
      <c r="D100" s="70"/>
      <c r="E100" s="70"/>
      <c r="F100" s="74"/>
    </row>
    <row r="101" spans="1:6" s="71" customFormat="1" ht="12.75">
      <c r="A101" s="79"/>
      <c r="B101" s="78"/>
      <c r="C101" s="74"/>
      <c r="D101" s="70"/>
      <c r="E101" s="92"/>
      <c r="F101" s="74"/>
    </row>
    <row r="102" spans="1:6" s="71" customFormat="1" ht="12.75">
      <c r="A102" s="69"/>
      <c r="B102" s="74"/>
      <c r="C102" s="74"/>
      <c r="D102" s="70"/>
      <c r="E102" s="70"/>
      <c r="F102" s="74"/>
    </row>
    <row r="103" spans="1:6" s="71" customFormat="1" ht="12.75">
      <c r="A103" s="69"/>
      <c r="B103" s="74"/>
      <c r="C103" s="74"/>
      <c r="D103" s="70"/>
      <c r="E103" s="70"/>
      <c r="F103" s="74"/>
    </row>
    <row r="104" spans="1:6" s="71" customFormat="1" ht="12.75">
      <c r="A104" s="69"/>
      <c r="B104" s="74"/>
      <c r="C104" s="74"/>
      <c r="D104" s="70"/>
      <c r="E104" s="70"/>
      <c r="F104" s="74"/>
    </row>
    <row r="105" spans="1:6" s="71" customFormat="1" ht="12.75">
      <c r="A105" s="69"/>
      <c r="B105" s="74"/>
      <c r="C105" s="74"/>
      <c r="D105" s="70"/>
      <c r="E105" s="70"/>
      <c r="F105" s="74"/>
    </row>
    <row r="106" spans="1:6" s="71" customFormat="1" ht="12.75">
      <c r="A106" s="69"/>
      <c r="B106" s="74"/>
      <c r="C106" s="74"/>
      <c r="D106" s="70"/>
      <c r="E106" s="70"/>
      <c r="F106" s="74"/>
    </row>
    <row r="107" spans="1:6" s="71" customFormat="1" ht="12.75">
      <c r="A107" s="69"/>
      <c r="B107" s="74"/>
      <c r="C107" s="74"/>
      <c r="D107" s="70"/>
      <c r="E107" s="70"/>
      <c r="F107" s="74"/>
    </row>
    <row r="108" spans="1:6" s="71" customFormat="1" ht="12.75">
      <c r="A108" s="69"/>
      <c r="B108" s="74"/>
      <c r="C108" s="74"/>
      <c r="D108" s="70"/>
      <c r="E108" s="70"/>
      <c r="F108" s="74"/>
    </row>
    <row r="109" spans="1:6" s="71" customFormat="1" ht="16.5" customHeight="1">
      <c r="A109" s="69"/>
      <c r="B109" s="74"/>
      <c r="C109" s="74"/>
      <c r="D109" s="70"/>
      <c r="E109" s="70"/>
      <c r="F109" s="74"/>
    </row>
    <row r="110" spans="1:6" s="71" customFormat="1" ht="12.75">
      <c r="A110" s="69"/>
      <c r="B110" s="74"/>
      <c r="C110" s="74"/>
      <c r="D110" s="70"/>
      <c r="E110" s="70"/>
      <c r="F110" s="74"/>
    </row>
    <row r="111" spans="1:6" s="71" customFormat="1" ht="12.75">
      <c r="A111" s="69"/>
      <c r="B111" s="74"/>
      <c r="C111" s="74"/>
      <c r="D111" s="70"/>
      <c r="E111" s="70"/>
      <c r="F111" s="74"/>
    </row>
    <row r="112" spans="1:6" s="71" customFormat="1" ht="12.75">
      <c r="A112" s="69"/>
      <c r="B112" s="74"/>
      <c r="C112" s="74"/>
      <c r="D112" s="70"/>
      <c r="E112" s="70"/>
      <c r="F112" s="74"/>
    </row>
    <row r="113" spans="1:6" s="71" customFormat="1" ht="12.75">
      <c r="A113" s="69"/>
      <c r="B113" s="74"/>
      <c r="C113" s="74"/>
      <c r="D113" s="70"/>
      <c r="E113" s="70"/>
      <c r="F113" s="74"/>
    </row>
    <row r="114" spans="1:6" s="71" customFormat="1" ht="12.75">
      <c r="A114" s="69"/>
      <c r="B114" s="74"/>
      <c r="C114" s="74"/>
      <c r="D114" s="70"/>
      <c r="E114" s="70"/>
      <c r="F114" s="74"/>
    </row>
    <row r="115" spans="1:6" s="71" customFormat="1" ht="12.75">
      <c r="A115" s="69"/>
      <c r="B115" s="74"/>
      <c r="C115" s="74"/>
      <c r="D115" s="70"/>
      <c r="E115" s="70"/>
      <c r="F115" s="74"/>
    </row>
    <row r="116" spans="1:6" s="71" customFormat="1" ht="12.75">
      <c r="A116" s="69"/>
      <c r="B116" s="74"/>
      <c r="C116" s="74"/>
      <c r="D116" s="70"/>
      <c r="E116" s="70"/>
      <c r="F116" s="74"/>
    </row>
    <row r="117" spans="1:6" s="71" customFormat="1" ht="12.75">
      <c r="A117" s="69"/>
      <c r="B117" s="74"/>
      <c r="C117" s="74"/>
      <c r="D117" s="70"/>
      <c r="E117" s="70"/>
      <c r="F117" s="74"/>
    </row>
    <row r="118" spans="1:6" s="71" customFormat="1" ht="12.75">
      <c r="A118" s="69"/>
      <c r="B118" s="74"/>
      <c r="C118" s="74"/>
      <c r="D118" s="70"/>
      <c r="E118" s="70"/>
      <c r="F118" s="74"/>
    </row>
    <row r="119" spans="1:6" s="71" customFormat="1" ht="12.75">
      <c r="A119" s="69"/>
      <c r="B119" s="74"/>
      <c r="C119" s="74"/>
      <c r="D119" s="70"/>
      <c r="E119" s="70"/>
      <c r="F119" s="74"/>
    </row>
    <row r="120" spans="1:6" s="71" customFormat="1" ht="12.75">
      <c r="A120" s="69"/>
      <c r="B120" s="74"/>
      <c r="C120" s="74"/>
      <c r="D120" s="70"/>
      <c r="E120" s="70"/>
      <c r="F120" s="74"/>
    </row>
    <row r="121" spans="1:6" s="71" customFormat="1" ht="12.75">
      <c r="A121" s="69"/>
      <c r="B121" s="74"/>
      <c r="C121" s="74"/>
      <c r="D121" s="70"/>
      <c r="E121" s="70"/>
      <c r="F121" s="74"/>
    </row>
    <row r="122" spans="1:6" s="71" customFormat="1" ht="12.75">
      <c r="A122" s="69"/>
      <c r="B122" s="74"/>
      <c r="C122" s="74"/>
      <c r="D122" s="70"/>
      <c r="E122" s="70"/>
      <c r="F122" s="74"/>
    </row>
    <row r="123" spans="1:6" s="71" customFormat="1" ht="12.75">
      <c r="A123" s="69"/>
      <c r="B123" s="74"/>
      <c r="C123" s="74"/>
      <c r="D123" s="70"/>
      <c r="E123" s="70"/>
      <c r="F123" s="74"/>
    </row>
    <row r="124" spans="1:6" s="71" customFormat="1" ht="12.75">
      <c r="A124" s="69"/>
      <c r="B124" s="74"/>
      <c r="C124" s="74"/>
      <c r="D124" s="70"/>
      <c r="E124" s="70"/>
      <c r="F124" s="74"/>
    </row>
    <row r="125" spans="1:6" s="71" customFormat="1" ht="12.75">
      <c r="A125" s="69"/>
      <c r="B125" s="74"/>
      <c r="C125" s="74"/>
      <c r="D125" s="70"/>
      <c r="E125" s="70"/>
      <c r="F125" s="74"/>
    </row>
    <row r="126" spans="1:6" s="71" customFormat="1" ht="12.75">
      <c r="A126" s="69"/>
      <c r="B126" s="74"/>
      <c r="C126" s="74"/>
      <c r="D126" s="70"/>
      <c r="E126" s="70"/>
      <c r="F126" s="74"/>
    </row>
    <row r="127" spans="1:6" s="71" customFormat="1" ht="12.75">
      <c r="A127" s="69"/>
      <c r="B127" s="74"/>
      <c r="C127" s="74"/>
      <c r="D127" s="70"/>
      <c r="E127" s="70"/>
      <c r="F127" s="74"/>
    </row>
    <row r="128" spans="1:6" s="71" customFormat="1" ht="12.75">
      <c r="A128" s="69"/>
      <c r="B128" s="74"/>
      <c r="C128" s="74"/>
      <c r="D128" s="70"/>
      <c r="E128" s="70"/>
      <c r="F128" s="74"/>
    </row>
    <row r="129" spans="1:6" s="71" customFormat="1" ht="12.75">
      <c r="A129" s="69"/>
      <c r="B129" s="74"/>
      <c r="C129" s="74"/>
      <c r="D129" s="70"/>
      <c r="E129" s="70"/>
      <c r="F129" s="74"/>
    </row>
    <row r="130" spans="1:6" s="71" customFormat="1" ht="12.75">
      <c r="A130" s="69"/>
      <c r="B130" s="74"/>
      <c r="C130" s="74"/>
      <c r="D130" s="70"/>
      <c r="E130" s="70"/>
      <c r="F130" s="74"/>
    </row>
    <row r="131" spans="1:6" s="71" customFormat="1" ht="12.75">
      <c r="A131" s="69"/>
      <c r="B131" s="74"/>
      <c r="C131" s="74"/>
      <c r="D131" s="70"/>
      <c r="E131" s="70"/>
      <c r="F131" s="74"/>
    </row>
    <row r="132" spans="1:6" s="71" customFormat="1" ht="12.75">
      <c r="A132" s="69"/>
      <c r="B132" s="74"/>
      <c r="C132" s="74"/>
      <c r="D132" s="70"/>
      <c r="E132" s="70"/>
      <c r="F132" s="74"/>
    </row>
    <row r="133" spans="1:6" s="71" customFormat="1" ht="12.75">
      <c r="A133" s="69"/>
      <c r="B133" s="74"/>
      <c r="C133" s="74"/>
      <c r="D133" s="70"/>
      <c r="E133" s="70"/>
      <c r="F133" s="74"/>
    </row>
    <row r="134" spans="1:6" s="71" customFormat="1" ht="12.75">
      <c r="A134" s="69"/>
      <c r="B134" s="74"/>
      <c r="C134" s="74"/>
      <c r="D134" s="70"/>
      <c r="E134" s="70"/>
      <c r="F134" s="74"/>
    </row>
    <row r="135" spans="1:6" s="71" customFormat="1" ht="12.75">
      <c r="A135" s="69"/>
      <c r="B135" s="74"/>
      <c r="C135" s="74"/>
      <c r="D135" s="70"/>
      <c r="E135" s="70"/>
      <c r="F135" s="74"/>
    </row>
    <row r="136" spans="1:6" s="71" customFormat="1" ht="12.75">
      <c r="A136" s="69"/>
      <c r="B136" s="74"/>
      <c r="C136" s="74"/>
      <c r="D136" s="70"/>
      <c r="E136" s="70"/>
      <c r="F136" s="74"/>
    </row>
    <row r="137" spans="1:6" s="71" customFormat="1" ht="12.75">
      <c r="A137" s="69"/>
      <c r="B137" s="74"/>
      <c r="C137" s="74"/>
      <c r="D137" s="70"/>
      <c r="E137" s="70"/>
      <c r="F137" s="74"/>
    </row>
    <row r="138" spans="1:6" s="71" customFormat="1" ht="12.75">
      <c r="A138" s="69"/>
      <c r="B138" s="74"/>
      <c r="C138" s="74"/>
      <c r="D138" s="70"/>
      <c r="E138" s="70"/>
      <c r="F138" s="74"/>
    </row>
    <row r="139" spans="1:6" s="93" customFormat="1" ht="12.75">
      <c r="A139" s="69"/>
      <c r="B139" s="74"/>
      <c r="C139" s="74"/>
      <c r="D139" s="70"/>
      <c r="E139" s="70"/>
      <c r="F139" s="101"/>
    </row>
    <row r="140" spans="1:6" s="93" customFormat="1" ht="12.75">
      <c r="A140" s="69"/>
      <c r="B140" s="74"/>
      <c r="C140" s="74"/>
      <c r="D140" s="70"/>
      <c r="E140" s="70"/>
      <c r="F140" s="101"/>
    </row>
    <row r="141" spans="1:6" s="93" customFormat="1" ht="12.75">
      <c r="A141" s="69"/>
      <c r="B141" s="74"/>
      <c r="C141" s="74"/>
      <c r="D141" s="70"/>
      <c r="E141" s="70"/>
      <c r="F141" s="101"/>
    </row>
    <row r="142" spans="1:6" s="93" customFormat="1" ht="12.75">
      <c r="A142" s="69"/>
      <c r="B142" s="74"/>
      <c r="C142" s="74"/>
      <c r="D142" s="70"/>
      <c r="E142" s="70"/>
      <c r="F142" s="101"/>
    </row>
    <row r="143" spans="1:6" s="93" customFormat="1" ht="12.75">
      <c r="A143" s="69"/>
      <c r="B143" s="74"/>
      <c r="C143" s="74"/>
      <c r="D143" s="70"/>
      <c r="E143" s="70"/>
      <c r="F143" s="101"/>
    </row>
    <row r="144" spans="1:6" s="93" customFormat="1" ht="12.75">
      <c r="A144" s="69"/>
      <c r="B144" s="74"/>
      <c r="C144" s="74"/>
      <c r="D144" s="70"/>
      <c r="E144" s="70"/>
      <c r="F144" s="101"/>
    </row>
    <row r="145" spans="1:6" s="93" customFormat="1" ht="12.75">
      <c r="A145" s="69"/>
      <c r="B145" s="74"/>
      <c r="C145" s="74"/>
      <c r="D145" s="70"/>
      <c r="E145" s="70"/>
      <c r="F145" s="101"/>
    </row>
    <row r="146" spans="1:6" s="93" customFormat="1" ht="12.75">
      <c r="A146" s="69"/>
      <c r="B146" s="74"/>
      <c r="C146" s="74"/>
      <c r="D146" s="70"/>
      <c r="E146" s="70"/>
      <c r="F146" s="101"/>
    </row>
    <row r="147" spans="1:6" s="93" customFormat="1" ht="12.75">
      <c r="A147" s="69"/>
      <c r="B147" s="74"/>
      <c r="C147" s="74"/>
      <c r="D147" s="70"/>
      <c r="E147" s="70"/>
      <c r="F147" s="101"/>
    </row>
    <row r="148" spans="1:6" s="93" customFormat="1" ht="12.75">
      <c r="A148" s="69"/>
      <c r="B148" s="74"/>
      <c r="C148" s="74"/>
      <c r="D148" s="70"/>
      <c r="E148" s="70"/>
      <c r="F148" s="101"/>
    </row>
    <row r="149" spans="1:6" s="93" customFormat="1" ht="12.75">
      <c r="A149" s="69"/>
      <c r="B149" s="74"/>
      <c r="C149" s="74"/>
      <c r="D149" s="70"/>
      <c r="E149" s="70"/>
      <c r="F149" s="101"/>
    </row>
    <row r="150" spans="1:6" s="93" customFormat="1" ht="12.75">
      <c r="A150" s="69"/>
      <c r="B150" s="74"/>
      <c r="C150" s="74"/>
      <c r="D150" s="70"/>
      <c r="E150" s="70"/>
      <c r="F150" s="101"/>
    </row>
    <row r="151" spans="1:6" s="93" customFormat="1" ht="12.75">
      <c r="A151" s="69"/>
      <c r="B151" s="74"/>
      <c r="C151" s="74"/>
      <c r="D151" s="70"/>
      <c r="E151" s="70"/>
      <c r="F151" s="101"/>
    </row>
    <row r="152" spans="1:6" s="93" customFormat="1" ht="12.75">
      <c r="A152" s="69"/>
      <c r="B152" s="74"/>
      <c r="C152" s="74"/>
      <c r="D152" s="70"/>
      <c r="E152" s="70"/>
      <c r="F152" s="101"/>
    </row>
    <row r="153" spans="1:6" s="93" customFormat="1" ht="12.75">
      <c r="A153" s="69"/>
      <c r="B153" s="74"/>
      <c r="C153" s="74"/>
      <c r="D153" s="70"/>
      <c r="E153" s="70"/>
      <c r="F153" s="101"/>
    </row>
    <row r="154" spans="1:6" s="93" customFormat="1" ht="12.75">
      <c r="A154" s="69"/>
      <c r="B154" s="74"/>
      <c r="C154" s="74"/>
      <c r="D154" s="70"/>
      <c r="E154" s="70"/>
      <c r="F154" s="101"/>
    </row>
    <row r="155" spans="1:6" s="93" customFormat="1" ht="12.75">
      <c r="A155" s="69"/>
      <c r="B155" s="74"/>
      <c r="C155" s="74"/>
      <c r="D155" s="70"/>
      <c r="E155" s="70"/>
      <c r="F155" s="101"/>
    </row>
    <row r="156" spans="1:6" s="93" customFormat="1" ht="12.75">
      <c r="A156" s="69"/>
      <c r="B156" s="74"/>
      <c r="C156" s="74"/>
      <c r="D156" s="70"/>
      <c r="E156" s="70"/>
      <c r="F156" s="101"/>
    </row>
    <row r="157" spans="1:6" s="93" customFormat="1" ht="12.75">
      <c r="A157" s="69"/>
      <c r="B157" s="74"/>
      <c r="C157" s="74"/>
      <c r="D157" s="70"/>
      <c r="E157" s="70"/>
      <c r="F157" s="101"/>
    </row>
    <row r="158" spans="1:6" s="93" customFormat="1" ht="12.75">
      <c r="A158" s="69"/>
      <c r="B158" s="74"/>
      <c r="C158" s="74"/>
      <c r="D158" s="70"/>
      <c r="E158" s="70"/>
      <c r="F158" s="101"/>
    </row>
    <row r="159" spans="1:6" s="93" customFormat="1" ht="12.75">
      <c r="A159" s="69"/>
      <c r="B159" s="74"/>
      <c r="C159" s="74"/>
      <c r="D159" s="70"/>
      <c r="E159" s="70"/>
      <c r="F159" s="101"/>
    </row>
    <row r="160" spans="1:6" s="93" customFormat="1" ht="12.75">
      <c r="A160" s="69"/>
      <c r="B160" s="74"/>
      <c r="C160" s="74"/>
      <c r="D160" s="70"/>
      <c r="E160" s="70"/>
      <c r="F160" s="101"/>
    </row>
    <row r="161" spans="1:6" s="93" customFormat="1" ht="12.75">
      <c r="A161" s="69"/>
      <c r="B161" s="74"/>
      <c r="C161" s="74"/>
      <c r="D161" s="70"/>
      <c r="E161" s="70"/>
      <c r="F161" s="101"/>
    </row>
    <row r="162" spans="1:6" s="93" customFormat="1" ht="12.75">
      <c r="A162" s="69"/>
      <c r="B162" s="74"/>
      <c r="C162" s="74"/>
      <c r="D162" s="70"/>
      <c r="E162" s="70"/>
      <c r="F162" s="101"/>
    </row>
    <row r="163" spans="1:6" s="93" customFormat="1" ht="12.75">
      <c r="A163" s="69"/>
      <c r="B163" s="74"/>
      <c r="C163" s="74"/>
      <c r="D163" s="70"/>
      <c r="E163" s="70"/>
      <c r="F163" s="101"/>
    </row>
    <row r="164" spans="1:6" s="93" customFormat="1" ht="12.75">
      <c r="A164" s="69"/>
      <c r="B164" s="74"/>
      <c r="C164" s="74"/>
      <c r="D164" s="70"/>
      <c r="E164" s="70"/>
      <c r="F164" s="101"/>
    </row>
    <row r="165" spans="1:6" s="93" customFormat="1" ht="12.75">
      <c r="A165" s="69"/>
      <c r="B165" s="74"/>
      <c r="C165" s="74"/>
      <c r="D165" s="70"/>
      <c r="E165" s="70"/>
      <c r="F165" s="101"/>
    </row>
    <row r="166" spans="1:6" s="93" customFormat="1" ht="12.75">
      <c r="A166" s="69"/>
      <c r="B166" s="74"/>
      <c r="C166" s="74"/>
      <c r="D166" s="70"/>
      <c r="E166" s="70"/>
      <c r="F166" s="101"/>
    </row>
    <row r="167" spans="1:6" s="93" customFormat="1" ht="12.75">
      <c r="A167" s="69"/>
      <c r="B167" s="74"/>
      <c r="C167" s="74"/>
      <c r="D167" s="70"/>
      <c r="E167" s="70"/>
      <c r="F167" s="101"/>
    </row>
    <row r="168" spans="1:6" s="93" customFormat="1" ht="12.75">
      <c r="A168" s="69"/>
      <c r="B168" s="74"/>
      <c r="C168" s="74"/>
      <c r="D168" s="70"/>
      <c r="E168" s="70"/>
      <c r="F168" s="101"/>
    </row>
    <row r="169" spans="1:6" s="93" customFormat="1" ht="12.75">
      <c r="A169" s="69"/>
      <c r="B169" s="74"/>
      <c r="C169" s="74"/>
      <c r="D169" s="70"/>
      <c r="E169" s="70"/>
      <c r="F169" s="101"/>
    </row>
    <row r="170" spans="1:6" s="93" customFormat="1" ht="12.75">
      <c r="A170" s="69"/>
      <c r="B170" s="74"/>
      <c r="C170" s="74"/>
      <c r="D170" s="70"/>
      <c r="E170" s="70"/>
      <c r="F170" s="101"/>
    </row>
    <row r="171" spans="1:6" s="93" customFormat="1" ht="12.75">
      <c r="A171" s="69"/>
      <c r="B171" s="74"/>
      <c r="C171" s="74"/>
      <c r="D171" s="70"/>
      <c r="E171" s="70"/>
      <c r="F171" s="101"/>
    </row>
    <row r="172" spans="1:6" s="93" customFormat="1" ht="12.75">
      <c r="A172" s="69"/>
      <c r="B172" s="74"/>
      <c r="C172" s="74"/>
      <c r="D172" s="70"/>
      <c r="E172" s="70"/>
      <c r="F172" s="101"/>
    </row>
    <row r="173" spans="1:6" s="93" customFormat="1" ht="12.75">
      <c r="A173" s="69"/>
      <c r="B173" s="74"/>
      <c r="C173" s="74"/>
      <c r="D173" s="70"/>
      <c r="E173" s="70"/>
      <c r="F173" s="101"/>
    </row>
    <row r="174" spans="1:6" s="93" customFormat="1" ht="12.75">
      <c r="A174" s="69"/>
      <c r="B174" s="74"/>
      <c r="C174" s="74"/>
      <c r="D174" s="70"/>
      <c r="E174" s="70"/>
      <c r="F174" s="101"/>
    </row>
    <row r="175" spans="1:6" s="93" customFormat="1" ht="12.75">
      <c r="A175" s="69"/>
      <c r="B175" s="74"/>
      <c r="C175" s="74"/>
      <c r="D175" s="70"/>
      <c r="E175" s="70"/>
      <c r="F175" s="101"/>
    </row>
    <row r="176" spans="1:6" s="93" customFormat="1" ht="12.75">
      <c r="A176" s="69"/>
      <c r="B176" s="74"/>
      <c r="C176" s="74"/>
      <c r="D176" s="70"/>
      <c r="E176" s="70"/>
      <c r="F176" s="101"/>
    </row>
    <row r="177" spans="1:6" s="93" customFormat="1" ht="12.75">
      <c r="A177" s="69"/>
      <c r="B177" s="74"/>
      <c r="C177" s="74"/>
      <c r="D177" s="70"/>
      <c r="E177" s="70"/>
      <c r="F177" s="101"/>
    </row>
    <row r="178" spans="1:6" s="93" customFormat="1" ht="12.75">
      <c r="A178" s="69"/>
      <c r="B178" s="74"/>
      <c r="C178" s="74"/>
      <c r="D178" s="70"/>
      <c r="E178" s="70"/>
      <c r="F178" s="101"/>
    </row>
    <row r="179" spans="1:6" s="93" customFormat="1" ht="12.75">
      <c r="A179" s="69"/>
      <c r="B179" s="74"/>
      <c r="C179" s="74"/>
      <c r="D179" s="70"/>
      <c r="E179" s="70"/>
      <c r="F179" s="101"/>
    </row>
    <row r="180" spans="1:6" s="93" customFormat="1" ht="12.75">
      <c r="A180" s="69"/>
      <c r="B180" s="74"/>
      <c r="C180" s="74"/>
      <c r="D180" s="70"/>
      <c r="E180" s="70"/>
      <c r="F180" s="101"/>
    </row>
    <row r="181" spans="1:6" s="93" customFormat="1" ht="12.75">
      <c r="A181" s="69"/>
      <c r="B181" s="74"/>
      <c r="C181" s="74"/>
      <c r="D181" s="70"/>
      <c r="E181" s="70"/>
      <c r="F181" s="101"/>
    </row>
    <row r="182" spans="1:6" s="93" customFormat="1" ht="12.75">
      <c r="A182" s="69"/>
      <c r="B182" s="74"/>
      <c r="C182" s="74"/>
      <c r="D182" s="70"/>
      <c r="E182" s="70"/>
      <c r="F182" s="101"/>
    </row>
    <row r="183" spans="1:6" s="93" customFormat="1" ht="12.75">
      <c r="A183" s="69"/>
      <c r="B183" s="74"/>
      <c r="C183" s="74"/>
      <c r="D183" s="70"/>
      <c r="E183" s="70"/>
      <c r="F183" s="101"/>
    </row>
    <row r="184" spans="1:6" s="93" customFormat="1" ht="12.75">
      <c r="A184" s="69"/>
      <c r="B184" s="74"/>
      <c r="C184" s="74"/>
      <c r="D184" s="70"/>
      <c r="E184" s="70"/>
      <c r="F184" s="101"/>
    </row>
    <row r="185" spans="1:6" s="93" customFormat="1" ht="12.75">
      <c r="A185" s="69"/>
      <c r="B185" s="74"/>
      <c r="C185" s="74"/>
      <c r="D185" s="70"/>
      <c r="E185" s="70"/>
      <c r="F185" s="101"/>
    </row>
    <row r="186" spans="1:6" s="93" customFormat="1" ht="12.75">
      <c r="A186" s="69"/>
      <c r="B186" s="74"/>
      <c r="C186" s="74"/>
      <c r="D186" s="70"/>
      <c r="E186" s="70"/>
      <c r="F186" s="101"/>
    </row>
    <row r="187" spans="1:6" s="93" customFormat="1" ht="12.75">
      <c r="A187" s="69"/>
      <c r="B187" s="74"/>
      <c r="C187" s="74"/>
      <c r="D187" s="70"/>
      <c r="E187" s="70"/>
      <c r="F187" s="101"/>
    </row>
    <row r="188" spans="1:6" s="93" customFormat="1" ht="12.75">
      <c r="A188" s="69"/>
      <c r="B188" s="74"/>
      <c r="C188" s="74"/>
      <c r="D188" s="70"/>
      <c r="E188" s="70"/>
      <c r="F188" s="101"/>
    </row>
    <row r="189" spans="1:6" s="93" customFormat="1" ht="12.75">
      <c r="A189" s="69"/>
      <c r="B189" s="74"/>
      <c r="C189" s="74"/>
      <c r="D189" s="70"/>
      <c r="E189" s="70"/>
      <c r="F189" s="101"/>
    </row>
    <row r="190" spans="1:6" s="93" customFormat="1" ht="12.75">
      <c r="A190" s="69"/>
      <c r="B190" s="74"/>
      <c r="C190" s="74"/>
      <c r="D190" s="70"/>
      <c r="E190" s="70"/>
      <c r="F190" s="101"/>
    </row>
    <row r="191" spans="1:6" s="93" customFormat="1" ht="12.75">
      <c r="A191" s="69"/>
      <c r="B191" s="74"/>
      <c r="C191" s="74"/>
      <c r="D191" s="70"/>
      <c r="E191" s="70"/>
      <c r="F191" s="101"/>
    </row>
    <row r="192" spans="1:6" s="93" customFormat="1" ht="12.75">
      <c r="A192" s="69"/>
      <c r="B192" s="74"/>
      <c r="C192" s="74"/>
      <c r="D192" s="70"/>
      <c r="E192" s="70"/>
      <c r="F192" s="101"/>
    </row>
    <row r="193" spans="1:6" s="93" customFormat="1" ht="12.75">
      <c r="A193" s="69"/>
      <c r="B193" s="74"/>
      <c r="C193" s="74"/>
      <c r="D193" s="70"/>
      <c r="E193" s="70"/>
      <c r="F193" s="101"/>
    </row>
    <row r="194" spans="1:6" s="93" customFormat="1" ht="12.75">
      <c r="A194" s="69"/>
      <c r="B194" s="74"/>
      <c r="C194" s="74"/>
      <c r="D194" s="70"/>
      <c r="E194" s="70"/>
      <c r="F194" s="101"/>
    </row>
    <row r="195" spans="1:6" s="93" customFormat="1" ht="12.75">
      <c r="A195" s="69"/>
      <c r="B195" s="74"/>
      <c r="C195" s="74"/>
      <c r="D195" s="70"/>
      <c r="E195" s="70"/>
      <c r="F195" s="101"/>
    </row>
    <row r="196" spans="1:6" s="93" customFormat="1" ht="12.75">
      <c r="A196" s="69"/>
      <c r="B196" s="74"/>
      <c r="C196" s="74"/>
      <c r="D196" s="70"/>
      <c r="E196" s="70"/>
      <c r="F196" s="101"/>
    </row>
    <row r="197" spans="1:6" s="93" customFormat="1" ht="12.75">
      <c r="A197" s="69"/>
      <c r="B197" s="74"/>
      <c r="C197" s="74"/>
      <c r="D197" s="70"/>
      <c r="E197" s="70"/>
      <c r="F197" s="101"/>
    </row>
    <row r="198" spans="1:6" s="93" customFormat="1" ht="12.75">
      <c r="A198" s="69"/>
      <c r="B198" s="74"/>
      <c r="C198" s="74"/>
      <c r="D198" s="70"/>
      <c r="E198" s="70"/>
      <c r="F198" s="101"/>
    </row>
    <row r="199" spans="1:6" s="93" customFormat="1" ht="12.75">
      <c r="A199" s="69"/>
      <c r="B199" s="74"/>
      <c r="C199" s="74"/>
      <c r="D199" s="70"/>
      <c r="E199" s="70"/>
      <c r="F199" s="101"/>
    </row>
    <row r="200" spans="1:6" s="93" customFormat="1" ht="12.75">
      <c r="A200" s="69"/>
      <c r="B200" s="74"/>
      <c r="C200" s="74"/>
      <c r="D200" s="70"/>
      <c r="E200" s="70"/>
      <c r="F200" s="101"/>
    </row>
    <row r="201" spans="1:6" s="93" customFormat="1" ht="12.75">
      <c r="A201" s="69"/>
      <c r="B201" s="74"/>
      <c r="C201" s="74"/>
      <c r="D201" s="70"/>
      <c r="E201" s="70"/>
      <c r="F201" s="101"/>
    </row>
    <row r="202" spans="1:6" s="93" customFormat="1" ht="12.75">
      <c r="A202" s="69"/>
      <c r="B202" s="74"/>
      <c r="C202" s="74"/>
      <c r="D202" s="70"/>
      <c r="E202" s="70"/>
      <c r="F202" s="101"/>
    </row>
    <row r="203" spans="1:6" s="93" customFormat="1" ht="12.75">
      <c r="A203" s="69"/>
      <c r="B203" s="74"/>
      <c r="C203" s="74"/>
      <c r="D203" s="70"/>
      <c r="E203" s="70"/>
      <c r="F203" s="101"/>
    </row>
    <row r="204" spans="1:6" s="93" customFormat="1" ht="12.75">
      <c r="A204" s="69"/>
      <c r="B204" s="74"/>
      <c r="C204" s="74"/>
      <c r="D204" s="70"/>
      <c r="E204" s="70"/>
      <c r="F204" s="101"/>
    </row>
    <row r="205" spans="1:6" s="93" customFormat="1" ht="12.75">
      <c r="A205" s="69"/>
      <c r="B205" s="74"/>
      <c r="C205" s="74"/>
      <c r="D205" s="70"/>
      <c r="E205" s="70"/>
      <c r="F205" s="101"/>
    </row>
    <row r="206" spans="1:6" s="93" customFormat="1" ht="12.75">
      <c r="A206" s="69"/>
      <c r="B206" s="74"/>
      <c r="C206" s="74"/>
      <c r="D206" s="70"/>
      <c r="E206" s="70"/>
      <c r="F206" s="101"/>
    </row>
    <row r="207" spans="1:6" s="93" customFormat="1" ht="12.75">
      <c r="A207" s="69"/>
      <c r="B207" s="74"/>
      <c r="C207" s="74"/>
      <c r="D207" s="70"/>
      <c r="E207" s="70"/>
      <c r="F207" s="101"/>
    </row>
    <row r="208" spans="1:6" s="93" customFormat="1" ht="12.75">
      <c r="A208" s="69"/>
      <c r="B208" s="74"/>
      <c r="C208" s="74"/>
      <c r="D208" s="70"/>
      <c r="E208" s="70"/>
      <c r="F208" s="101"/>
    </row>
    <row r="209" spans="1:6" s="93" customFormat="1" ht="12.75">
      <c r="A209" s="69"/>
      <c r="B209" s="74"/>
      <c r="C209" s="74"/>
      <c r="D209" s="70"/>
      <c r="E209" s="70"/>
      <c r="F209" s="101"/>
    </row>
    <row r="210" spans="1:6" s="93" customFormat="1" ht="12.75">
      <c r="A210" s="69"/>
      <c r="B210" s="74"/>
      <c r="C210" s="74"/>
      <c r="D210" s="70"/>
      <c r="E210" s="70"/>
      <c r="F210" s="101"/>
    </row>
    <row r="211" spans="1:6" s="93" customFormat="1" ht="12.75">
      <c r="A211" s="69"/>
      <c r="B211" s="74"/>
      <c r="C211" s="74"/>
      <c r="D211" s="70"/>
      <c r="E211" s="70"/>
      <c r="F211" s="101"/>
    </row>
    <row r="212" spans="1:6" s="93" customFormat="1" ht="12.75">
      <c r="A212" s="69"/>
      <c r="B212" s="74"/>
      <c r="C212" s="74"/>
      <c r="D212" s="70"/>
      <c r="E212" s="70"/>
      <c r="F212" s="101"/>
    </row>
    <row r="213" spans="1:6" s="93" customFormat="1" ht="12.75">
      <c r="A213" s="69"/>
      <c r="B213" s="74"/>
      <c r="C213" s="74"/>
      <c r="D213" s="70"/>
      <c r="E213" s="70"/>
      <c r="F213" s="101"/>
    </row>
    <row r="214" spans="1:6" s="93" customFormat="1" ht="12.75">
      <c r="A214" s="69"/>
      <c r="B214" s="74"/>
      <c r="C214" s="74"/>
      <c r="D214" s="70"/>
      <c r="E214" s="70"/>
      <c r="F214" s="101"/>
    </row>
    <row r="215" spans="1:6" s="93" customFormat="1" ht="12.75">
      <c r="A215" s="69"/>
      <c r="B215" s="74"/>
      <c r="C215" s="74"/>
      <c r="D215" s="70"/>
      <c r="E215" s="70"/>
      <c r="F215" s="101"/>
    </row>
    <row r="216" spans="1:6" s="93" customFormat="1" ht="12.75">
      <c r="A216" s="69"/>
      <c r="B216" s="74"/>
      <c r="C216" s="74"/>
      <c r="D216" s="70"/>
      <c r="E216" s="70"/>
      <c r="F216" s="101"/>
    </row>
    <row r="217" spans="1:6" s="93" customFormat="1" ht="12.75">
      <c r="A217" s="69"/>
      <c r="B217" s="74"/>
      <c r="C217" s="74"/>
      <c r="D217" s="70"/>
      <c r="E217" s="70"/>
      <c r="F217" s="101"/>
    </row>
    <row r="218" spans="1:6" s="93" customFormat="1" ht="12.75">
      <c r="A218" s="69"/>
      <c r="B218" s="74"/>
      <c r="C218" s="74"/>
      <c r="D218" s="70"/>
      <c r="E218" s="70"/>
      <c r="F218" s="101"/>
    </row>
    <row r="219" spans="1:6" s="93" customFormat="1" ht="12.75">
      <c r="A219" s="69"/>
      <c r="B219" s="74"/>
      <c r="C219" s="74"/>
      <c r="D219" s="70"/>
      <c r="E219" s="70"/>
      <c r="F219" s="101"/>
    </row>
    <row r="220" spans="1:6" s="93" customFormat="1" ht="12.75">
      <c r="A220" s="69"/>
      <c r="B220" s="74"/>
      <c r="C220" s="74"/>
      <c r="D220" s="70"/>
      <c r="E220" s="70"/>
      <c r="F220" s="101"/>
    </row>
    <row r="221" spans="1:6" s="93" customFormat="1" ht="12.75">
      <c r="A221" s="69"/>
      <c r="B221" s="74"/>
      <c r="C221" s="74"/>
      <c r="D221" s="70"/>
      <c r="E221" s="70"/>
      <c r="F221" s="101"/>
    </row>
    <row r="222" spans="1:6" s="93" customFormat="1" ht="12.75">
      <c r="A222" s="69"/>
      <c r="B222" s="74"/>
      <c r="C222" s="74"/>
      <c r="D222" s="70"/>
      <c r="E222" s="70"/>
      <c r="F222" s="101"/>
    </row>
    <row r="223" spans="1:6" s="93" customFormat="1" ht="12.75">
      <c r="A223" s="69"/>
      <c r="B223" s="74"/>
      <c r="C223" s="74"/>
      <c r="D223" s="70"/>
      <c r="E223" s="70"/>
      <c r="F223" s="101"/>
    </row>
    <row r="224" spans="1:6" s="93" customFormat="1" ht="12.75">
      <c r="A224" s="69"/>
      <c r="B224" s="74"/>
      <c r="C224" s="74"/>
      <c r="D224" s="70"/>
      <c r="E224" s="70"/>
      <c r="F224" s="101"/>
    </row>
    <row r="225" spans="1:6" s="93" customFormat="1" ht="12.75">
      <c r="A225" s="69"/>
      <c r="B225" s="74"/>
      <c r="C225" s="74"/>
      <c r="D225" s="70"/>
      <c r="E225" s="70"/>
      <c r="F225" s="101"/>
    </row>
    <row r="226" spans="1:6" s="93" customFormat="1" ht="12.75">
      <c r="A226" s="69"/>
      <c r="B226" s="74"/>
      <c r="C226" s="74"/>
      <c r="D226" s="70"/>
      <c r="E226" s="70"/>
      <c r="F226" s="101"/>
    </row>
    <row r="227" spans="1:6" s="93" customFormat="1" ht="12.75">
      <c r="A227" s="69"/>
      <c r="B227" s="74"/>
      <c r="C227" s="74"/>
      <c r="D227" s="70"/>
      <c r="E227" s="70"/>
      <c r="F227" s="101"/>
    </row>
    <row r="228" spans="1:6" s="93" customFormat="1" ht="12.75">
      <c r="A228" s="69"/>
      <c r="B228" s="74"/>
      <c r="C228" s="74"/>
      <c r="D228" s="70"/>
      <c r="E228" s="70"/>
      <c r="F228" s="101"/>
    </row>
    <row r="229" spans="1:6" s="93" customFormat="1" ht="12.75">
      <c r="A229" s="69"/>
      <c r="B229" s="74"/>
      <c r="C229" s="74"/>
      <c r="D229" s="70"/>
      <c r="E229" s="70"/>
      <c r="F229" s="101"/>
    </row>
    <row r="230" spans="1:6" s="93" customFormat="1" ht="12.75">
      <c r="A230" s="69"/>
      <c r="B230" s="74"/>
      <c r="C230" s="74"/>
      <c r="D230" s="70"/>
      <c r="E230" s="70"/>
      <c r="F230" s="101"/>
    </row>
    <row r="231" spans="1:6" s="93" customFormat="1" ht="12.75">
      <c r="A231" s="69"/>
      <c r="B231" s="74"/>
      <c r="C231" s="74"/>
      <c r="D231" s="70"/>
      <c r="E231" s="70"/>
      <c r="F231" s="101"/>
    </row>
    <row r="232" spans="1:6" s="93" customFormat="1" ht="12.75">
      <c r="A232" s="69"/>
      <c r="B232" s="74"/>
      <c r="C232" s="74"/>
      <c r="D232" s="70"/>
      <c r="E232" s="70"/>
      <c r="F232" s="101"/>
    </row>
    <row r="233" spans="1:6" s="93" customFormat="1" ht="12.75">
      <c r="A233" s="94"/>
      <c r="B233" s="101"/>
      <c r="C233" s="101"/>
      <c r="D233" s="95"/>
      <c r="E233" s="95"/>
      <c r="F233" s="101"/>
    </row>
    <row r="234" spans="1:6" s="93" customFormat="1" ht="12.75">
      <c r="A234" s="94"/>
      <c r="B234" s="101"/>
      <c r="C234" s="101"/>
      <c r="D234" s="95"/>
      <c r="E234" s="95"/>
      <c r="F234" s="101"/>
    </row>
    <row r="235" spans="1:6" s="93" customFormat="1" ht="12.75">
      <c r="A235" s="94"/>
      <c r="B235" s="101"/>
      <c r="C235" s="101"/>
      <c r="D235" s="95"/>
      <c r="E235" s="95"/>
      <c r="F235" s="101"/>
    </row>
    <row r="236" spans="1:6" s="93" customFormat="1" ht="12.75">
      <c r="A236" s="94"/>
      <c r="B236" s="101"/>
      <c r="C236" s="101"/>
      <c r="D236" s="95"/>
      <c r="E236" s="95"/>
      <c r="F236" s="101"/>
    </row>
    <row r="237" spans="1:6" s="93" customFormat="1" ht="12.75">
      <c r="A237" s="94"/>
      <c r="B237" s="101"/>
      <c r="C237" s="101"/>
      <c r="D237" s="95"/>
      <c r="E237" s="95"/>
      <c r="F237" s="101"/>
    </row>
    <row r="238" spans="1:6" s="93" customFormat="1" ht="12.75">
      <c r="A238" s="94"/>
      <c r="B238" s="101"/>
      <c r="C238" s="101"/>
      <c r="D238" s="95"/>
      <c r="E238" s="95"/>
      <c r="F238" s="101"/>
    </row>
    <row r="239" spans="1:6" s="93" customFormat="1" ht="12.75">
      <c r="A239" s="94"/>
      <c r="B239" s="101"/>
      <c r="C239" s="101"/>
      <c r="D239" s="95"/>
      <c r="E239" s="95"/>
      <c r="F239" s="101"/>
    </row>
    <row r="240" spans="1:6" s="93" customFormat="1" ht="12.75">
      <c r="A240" s="94"/>
      <c r="B240" s="101"/>
      <c r="C240" s="101"/>
      <c r="D240" s="95"/>
      <c r="E240" s="95"/>
      <c r="F240" s="101"/>
    </row>
    <row r="241" spans="1:6" s="93" customFormat="1" ht="12.75">
      <c r="A241" s="94"/>
      <c r="B241" s="101"/>
      <c r="C241" s="101"/>
      <c r="D241" s="95"/>
      <c r="E241" s="95"/>
      <c r="F241" s="101"/>
    </row>
    <row r="242" spans="1:6" s="93" customFormat="1" ht="12.75">
      <c r="A242" s="94"/>
      <c r="B242" s="101"/>
      <c r="C242" s="101"/>
      <c r="D242" s="95"/>
      <c r="E242" s="95"/>
      <c r="F242" s="101"/>
    </row>
    <row r="243" spans="1:6" s="93" customFormat="1" ht="12.75">
      <c r="A243" s="94"/>
      <c r="B243" s="101"/>
      <c r="C243" s="101"/>
      <c r="D243" s="95"/>
      <c r="E243" s="95"/>
      <c r="F243" s="101"/>
    </row>
    <row r="244" spans="1:6" s="93" customFormat="1" ht="12.75">
      <c r="A244" s="94"/>
      <c r="B244" s="101"/>
      <c r="C244" s="101"/>
      <c r="D244" s="95"/>
      <c r="E244" s="95"/>
      <c r="F244" s="101"/>
    </row>
    <row r="245" spans="1:6" s="93" customFormat="1" ht="12.75">
      <c r="A245" s="94"/>
      <c r="B245" s="101"/>
      <c r="C245" s="101"/>
      <c r="D245" s="95"/>
      <c r="E245" s="95"/>
      <c r="F245" s="101"/>
    </row>
    <row r="246" spans="1:6" s="93" customFormat="1" ht="12.75">
      <c r="A246" s="94"/>
      <c r="B246" s="101"/>
      <c r="C246" s="101"/>
      <c r="D246" s="95"/>
      <c r="E246" s="95"/>
      <c r="F246" s="101"/>
    </row>
    <row r="247" spans="1:6" s="93" customFormat="1" ht="12.75">
      <c r="A247" s="94"/>
      <c r="B247" s="101"/>
      <c r="C247" s="101"/>
      <c r="D247" s="95"/>
      <c r="E247" s="95"/>
      <c r="F247" s="101"/>
    </row>
    <row r="248" spans="1:6" s="93" customFormat="1" ht="12.75">
      <c r="A248" s="94"/>
      <c r="B248" s="101"/>
      <c r="C248" s="101"/>
      <c r="D248" s="95"/>
      <c r="E248" s="95"/>
      <c r="F248" s="101"/>
    </row>
    <row r="249" spans="1:6" s="93" customFormat="1" ht="12.75">
      <c r="A249" s="94"/>
      <c r="B249" s="101"/>
      <c r="C249" s="101"/>
      <c r="D249" s="95"/>
      <c r="E249" s="95"/>
      <c r="F249" s="101"/>
    </row>
    <row r="250" spans="1:6" s="93" customFormat="1" ht="12.75">
      <c r="A250" s="94"/>
      <c r="B250" s="101"/>
      <c r="C250" s="101"/>
      <c r="D250" s="95"/>
      <c r="E250" s="95"/>
      <c r="F250" s="101"/>
    </row>
    <row r="251" spans="1:6" s="93" customFormat="1" ht="12.75">
      <c r="A251" s="94"/>
      <c r="B251" s="101"/>
      <c r="C251" s="101"/>
      <c r="D251" s="95"/>
      <c r="E251" s="95"/>
      <c r="F251" s="101"/>
    </row>
    <row r="252" spans="1:6" s="93" customFormat="1" ht="12.75">
      <c r="A252" s="94"/>
      <c r="B252" s="101"/>
      <c r="C252" s="101"/>
      <c r="D252" s="95"/>
      <c r="E252" s="95"/>
      <c r="F252" s="101"/>
    </row>
    <row r="253" spans="1:6" s="93" customFormat="1" ht="12.75">
      <c r="A253" s="94"/>
      <c r="B253" s="101"/>
      <c r="C253" s="101"/>
      <c r="D253" s="95"/>
      <c r="E253" s="95"/>
      <c r="F253" s="101"/>
    </row>
    <row r="254" spans="1:6" s="93" customFormat="1" ht="12.75">
      <c r="A254" s="94"/>
      <c r="B254" s="101"/>
      <c r="C254" s="101"/>
      <c r="D254" s="95"/>
      <c r="E254" s="95"/>
      <c r="F254" s="101"/>
    </row>
    <row r="255" spans="1:6" s="93" customFormat="1" ht="12.75">
      <c r="A255" s="94"/>
      <c r="B255" s="101"/>
      <c r="C255" s="101"/>
      <c r="D255" s="95"/>
      <c r="E255" s="95"/>
      <c r="F255" s="101"/>
    </row>
    <row r="256" spans="1:6" s="93" customFormat="1" ht="12.75">
      <c r="A256" s="94"/>
      <c r="B256" s="101"/>
      <c r="C256" s="101"/>
      <c r="D256" s="95"/>
      <c r="E256" s="95"/>
      <c r="F256" s="101"/>
    </row>
    <row r="257" spans="1:6" s="93" customFormat="1" ht="12.75">
      <c r="A257" s="94"/>
      <c r="B257" s="101"/>
      <c r="C257" s="101"/>
      <c r="D257" s="95"/>
      <c r="E257" s="95"/>
      <c r="F257" s="101"/>
    </row>
    <row r="258" spans="1:6" s="93" customFormat="1" ht="12.75">
      <c r="A258" s="94"/>
      <c r="B258" s="101"/>
      <c r="C258" s="101"/>
      <c r="D258" s="95"/>
      <c r="E258" s="95"/>
      <c r="F258" s="101"/>
    </row>
    <row r="259" spans="1:6" s="93" customFormat="1" ht="12.75">
      <c r="A259" s="94"/>
      <c r="B259" s="101"/>
      <c r="C259" s="101"/>
      <c r="D259" s="95"/>
      <c r="E259" s="95"/>
      <c r="F259" s="101"/>
    </row>
    <row r="260" spans="1:6" s="93" customFormat="1" ht="12.75">
      <c r="A260" s="94"/>
      <c r="B260" s="101"/>
      <c r="C260" s="101"/>
      <c r="D260" s="95"/>
      <c r="E260" s="95"/>
      <c r="F260" s="101"/>
    </row>
    <row r="261" spans="1:6" s="93" customFormat="1" ht="12.75">
      <c r="A261" s="94"/>
      <c r="B261" s="101"/>
      <c r="C261" s="101"/>
      <c r="D261" s="95"/>
      <c r="E261" s="95"/>
      <c r="F261" s="101"/>
    </row>
    <row r="262" spans="1:6" s="93" customFormat="1" ht="12.75">
      <c r="A262" s="94"/>
      <c r="B262" s="101"/>
      <c r="C262" s="101"/>
      <c r="D262" s="95"/>
      <c r="E262" s="95"/>
      <c r="F262" s="101"/>
    </row>
    <row r="263" spans="1:6" s="93" customFormat="1" ht="12.75">
      <c r="A263" s="94"/>
      <c r="B263" s="101"/>
      <c r="C263" s="101"/>
      <c r="D263" s="95"/>
      <c r="E263" s="95"/>
      <c r="F263" s="101"/>
    </row>
    <row r="264" spans="1:6" s="93" customFormat="1" ht="12.75">
      <c r="A264" s="94"/>
      <c r="B264" s="101"/>
      <c r="C264" s="101"/>
      <c r="D264" s="95"/>
      <c r="E264" s="95"/>
      <c r="F264" s="101"/>
    </row>
    <row r="265" spans="1:6" s="93" customFormat="1" ht="12.75">
      <c r="A265" s="94"/>
      <c r="B265" s="101"/>
      <c r="C265" s="101"/>
      <c r="D265" s="95"/>
      <c r="E265" s="95"/>
      <c r="F265" s="101"/>
    </row>
    <row r="266" spans="1:6" s="93" customFormat="1" ht="12.75">
      <c r="A266" s="94"/>
      <c r="B266" s="101"/>
      <c r="C266" s="101"/>
      <c r="D266" s="95"/>
      <c r="E266" s="95"/>
      <c r="F266" s="101"/>
    </row>
    <row r="267" spans="1:6" s="93" customFormat="1" ht="12.75">
      <c r="A267" s="94"/>
      <c r="B267" s="101"/>
      <c r="C267" s="101"/>
      <c r="D267" s="95"/>
      <c r="E267" s="95"/>
      <c r="F267" s="101"/>
    </row>
    <row r="268" spans="1:6" s="93" customFormat="1" ht="12.75">
      <c r="A268" s="94"/>
      <c r="B268" s="101"/>
      <c r="C268" s="101"/>
      <c r="D268" s="95"/>
      <c r="E268" s="95"/>
      <c r="F268" s="101"/>
    </row>
    <row r="269" spans="1:6" s="93" customFormat="1" ht="12.75">
      <c r="A269" s="94"/>
      <c r="B269" s="101"/>
      <c r="C269" s="101"/>
      <c r="D269" s="95"/>
      <c r="E269" s="95"/>
      <c r="F269" s="101"/>
    </row>
    <row r="270" spans="1:6" s="93" customFormat="1" ht="12.75">
      <c r="A270" s="94"/>
      <c r="B270" s="101"/>
      <c r="C270" s="101"/>
      <c r="D270" s="95"/>
      <c r="E270" s="95"/>
      <c r="F270" s="101"/>
    </row>
    <row r="271" spans="1:6" s="93" customFormat="1" ht="12.75">
      <c r="A271" s="94"/>
      <c r="B271" s="101"/>
      <c r="C271" s="101"/>
      <c r="D271" s="95"/>
      <c r="E271" s="95"/>
      <c r="F271" s="101"/>
    </row>
    <row r="272" spans="1:6" s="93" customFormat="1" ht="12.75">
      <c r="A272" s="94"/>
      <c r="B272" s="101"/>
      <c r="C272" s="101"/>
      <c r="D272" s="95"/>
      <c r="E272" s="95"/>
      <c r="F272" s="101"/>
    </row>
    <row r="273" spans="1:6" s="93" customFormat="1" ht="12.75">
      <c r="A273" s="94"/>
      <c r="B273" s="101"/>
      <c r="C273" s="101"/>
      <c r="D273" s="95"/>
      <c r="E273" s="95"/>
      <c r="F273" s="101"/>
    </row>
    <row r="274" spans="1:6" s="93" customFormat="1" ht="12.75">
      <c r="A274" s="94"/>
      <c r="B274" s="101"/>
      <c r="C274" s="101"/>
      <c r="D274" s="95"/>
      <c r="E274" s="95"/>
      <c r="F274" s="101"/>
    </row>
    <row r="275" spans="1:6" s="93" customFormat="1" ht="12.75">
      <c r="A275" s="94"/>
      <c r="B275" s="101"/>
      <c r="C275" s="101"/>
      <c r="D275" s="95"/>
      <c r="E275" s="95"/>
      <c r="F275" s="101"/>
    </row>
    <row r="276" spans="1:6" s="93" customFormat="1" ht="12.75">
      <c r="A276" s="94"/>
      <c r="B276" s="101"/>
      <c r="C276" s="101"/>
      <c r="D276" s="95"/>
      <c r="E276" s="95"/>
      <c r="F276" s="101"/>
    </row>
    <row r="277" spans="1:6" s="93" customFormat="1" ht="12.75">
      <c r="A277" s="94"/>
      <c r="B277" s="101"/>
      <c r="C277" s="101"/>
      <c r="D277" s="95"/>
      <c r="E277" s="95"/>
      <c r="F277" s="101"/>
    </row>
    <row r="278" spans="1:6" s="93" customFormat="1" ht="12.75">
      <c r="A278" s="94"/>
      <c r="B278" s="101"/>
      <c r="C278" s="101"/>
      <c r="D278" s="95"/>
      <c r="E278" s="95"/>
      <c r="F278" s="101"/>
    </row>
    <row r="279" spans="1:6" s="93" customFormat="1" ht="12.75">
      <c r="A279" s="94"/>
      <c r="B279" s="101"/>
      <c r="C279" s="101"/>
      <c r="D279" s="95"/>
      <c r="E279" s="95"/>
      <c r="F279" s="101"/>
    </row>
    <row r="280" spans="1:6" s="93" customFormat="1" ht="12.75">
      <c r="A280" s="94"/>
      <c r="B280" s="101"/>
      <c r="C280" s="101"/>
      <c r="D280" s="95"/>
      <c r="E280" s="95"/>
      <c r="F280" s="101"/>
    </row>
    <row r="281" spans="1:6" s="93" customFormat="1" ht="12.75">
      <c r="A281" s="94"/>
      <c r="B281" s="101"/>
      <c r="C281" s="101"/>
      <c r="D281" s="95"/>
      <c r="E281" s="95"/>
      <c r="F281" s="101"/>
    </row>
    <row r="282" spans="1:6" s="93" customFormat="1" ht="12.75">
      <c r="A282" s="94"/>
      <c r="B282" s="101"/>
      <c r="C282" s="101"/>
      <c r="D282" s="95"/>
      <c r="E282" s="95"/>
      <c r="F282" s="101"/>
    </row>
    <row r="283" spans="1:6" s="93" customFormat="1" ht="12.75">
      <c r="A283" s="94"/>
      <c r="B283" s="101"/>
      <c r="C283" s="101"/>
      <c r="D283" s="95"/>
      <c r="E283" s="95"/>
      <c r="F283" s="101"/>
    </row>
    <row r="284" spans="1:6" s="93" customFormat="1" ht="12.75">
      <c r="A284" s="94"/>
      <c r="B284" s="101"/>
      <c r="C284" s="101"/>
      <c r="D284" s="95"/>
      <c r="E284" s="95"/>
      <c r="F284" s="101"/>
    </row>
    <row r="285" spans="1:6" s="93" customFormat="1" ht="12.75">
      <c r="A285" s="94"/>
      <c r="B285" s="101"/>
      <c r="C285" s="101"/>
      <c r="D285" s="95"/>
      <c r="E285" s="95"/>
      <c r="F285" s="101"/>
    </row>
    <row r="286" spans="1:6" s="93" customFormat="1" ht="12.75">
      <c r="A286" s="94"/>
      <c r="B286" s="101"/>
      <c r="C286" s="101"/>
      <c r="D286" s="95"/>
      <c r="E286" s="95"/>
      <c r="F286" s="101"/>
    </row>
    <row r="287" spans="1:6" s="93" customFormat="1" ht="12.75">
      <c r="A287" s="94"/>
      <c r="B287" s="101"/>
      <c r="C287" s="101"/>
      <c r="D287" s="95"/>
      <c r="E287" s="95"/>
      <c r="F287" s="101"/>
    </row>
    <row r="288" spans="1:6" s="93" customFormat="1" ht="12.75">
      <c r="A288" s="94"/>
      <c r="B288" s="101"/>
      <c r="C288" s="101"/>
      <c r="D288" s="95"/>
      <c r="E288" s="95"/>
      <c r="F288" s="101"/>
    </row>
    <row r="289" spans="1:6" s="93" customFormat="1" ht="12.75">
      <c r="A289" s="94"/>
      <c r="B289" s="101"/>
      <c r="C289" s="101"/>
      <c r="D289" s="95"/>
      <c r="E289" s="95"/>
      <c r="F289" s="101"/>
    </row>
    <row r="290" spans="1:6" s="93" customFormat="1" ht="12.75">
      <c r="A290" s="94"/>
      <c r="B290" s="101"/>
      <c r="C290" s="101"/>
      <c r="D290" s="95"/>
      <c r="E290" s="95"/>
      <c r="F290" s="101"/>
    </row>
    <row r="291" spans="1:6" s="93" customFormat="1" ht="12.75">
      <c r="A291" s="94"/>
      <c r="B291" s="101"/>
      <c r="C291" s="101"/>
      <c r="D291" s="95"/>
      <c r="E291" s="95"/>
      <c r="F291" s="101"/>
    </row>
    <row r="292" spans="1:6" s="93" customFormat="1" ht="12.75">
      <c r="A292" s="94"/>
      <c r="B292" s="101"/>
      <c r="C292" s="101"/>
      <c r="D292" s="95"/>
      <c r="E292" s="95"/>
      <c r="F292" s="101"/>
    </row>
    <row r="293" spans="1:6" s="93" customFormat="1" ht="12.75">
      <c r="A293" s="94"/>
      <c r="B293" s="101"/>
      <c r="C293" s="101"/>
      <c r="D293" s="95"/>
      <c r="E293" s="95"/>
      <c r="F293" s="101"/>
    </row>
    <row r="294" spans="1:6" s="93" customFormat="1" ht="12.75">
      <c r="A294" s="94"/>
      <c r="B294" s="101"/>
      <c r="C294" s="101"/>
      <c r="D294" s="95"/>
      <c r="E294" s="95"/>
      <c r="F294" s="101"/>
    </row>
    <row r="295" spans="1:6" s="93" customFormat="1" ht="12.75">
      <c r="A295" s="94"/>
      <c r="B295" s="101"/>
      <c r="C295" s="101"/>
      <c r="D295" s="95"/>
      <c r="E295" s="95"/>
      <c r="F295" s="101"/>
    </row>
    <row r="296" spans="1:6" s="93" customFormat="1" ht="12.75">
      <c r="A296" s="94"/>
      <c r="B296" s="101"/>
      <c r="C296" s="101"/>
      <c r="D296" s="95"/>
      <c r="E296" s="95"/>
      <c r="F296" s="101"/>
    </row>
    <row r="297" spans="1:6" s="93" customFormat="1" ht="12.75">
      <c r="A297" s="94"/>
      <c r="B297" s="101"/>
      <c r="C297" s="101"/>
      <c r="D297" s="95"/>
      <c r="E297" s="95"/>
      <c r="F297" s="101"/>
    </row>
    <row r="298" spans="1:6" s="93" customFormat="1" ht="12.75">
      <c r="A298" s="94"/>
      <c r="B298" s="101"/>
      <c r="C298" s="101"/>
      <c r="D298" s="95"/>
      <c r="E298" s="95"/>
      <c r="F298" s="101"/>
    </row>
    <row r="299" spans="1:6" s="93" customFormat="1" ht="12.75">
      <c r="A299" s="94"/>
      <c r="B299" s="101"/>
      <c r="C299" s="101"/>
      <c r="D299" s="95"/>
      <c r="E299" s="95"/>
      <c r="F299" s="101"/>
    </row>
    <row r="300" spans="1:6" s="93" customFormat="1" ht="12.75">
      <c r="A300" s="94"/>
      <c r="B300" s="101"/>
      <c r="C300" s="101"/>
      <c r="D300" s="95"/>
      <c r="E300" s="95"/>
      <c r="F300" s="101"/>
    </row>
    <row r="301" spans="1:6" s="93" customFormat="1" ht="12.75">
      <c r="A301" s="94"/>
      <c r="B301" s="101"/>
      <c r="C301" s="101"/>
      <c r="D301" s="95"/>
      <c r="E301" s="95"/>
      <c r="F301" s="101"/>
    </row>
    <row r="302" spans="1:6" s="93" customFormat="1" ht="12.75">
      <c r="A302" s="94"/>
      <c r="B302" s="101"/>
      <c r="C302" s="101"/>
      <c r="D302" s="95"/>
      <c r="E302" s="95"/>
      <c r="F302" s="101"/>
    </row>
    <row r="303" spans="1:6" s="93" customFormat="1" ht="12.75">
      <c r="A303" s="94"/>
      <c r="B303" s="101"/>
      <c r="C303" s="101"/>
      <c r="D303" s="95"/>
      <c r="E303" s="95"/>
      <c r="F303" s="101"/>
    </row>
    <row r="304" spans="1:6" s="93" customFormat="1" ht="12.75">
      <c r="A304" s="94"/>
      <c r="B304" s="101"/>
      <c r="C304" s="101"/>
      <c r="D304" s="95"/>
      <c r="E304" s="95"/>
      <c r="F304" s="101"/>
    </row>
    <row r="305" spans="1:6" s="93" customFormat="1" ht="12.75">
      <c r="A305" s="94"/>
      <c r="B305" s="101"/>
      <c r="C305" s="101"/>
      <c r="D305" s="95"/>
      <c r="E305" s="95"/>
      <c r="F305" s="101"/>
    </row>
    <row r="306" spans="1:6" s="93" customFormat="1" ht="12.75">
      <c r="A306" s="94"/>
      <c r="B306" s="101"/>
      <c r="C306" s="101"/>
      <c r="D306" s="95"/>
      <c r="E306" s="95"/>
      <c r="F306" s="101"/>
    </row>
    <row r="307" spans="1:6" s="93" customFormat="1" ht="12.75">
      <c r="A307" s="94"/>
      <c r="B307" s="101"/>
      <c r="C307" s="101"/>
      <c r="D307" s="95"/>
      <c r="E307" s="95"/>
      <c r="F307" s="101"/>
    </row>
    <row r="308" spans="1:6" s="93" customFormat="1" ht="12.75">
      <c r="A308" s="94"/>
      <c r="B308" s="101"/>
      <c r="C308" s="101"/>
      <c r="D308" s="95"/>
      <c r="E308" s="95"/>
      <c r="F308" s="101"/>
    </row>
    <row r="309" spans="1:6" s="93" customFormat="1" ht="12.75">
      <c r="A309" s="94"/>
      <c r="B309" s="101"/>
      <c r="C309" s="101"/>
      <c r="D309" s="95"/>
      <c r="E309" s="95"/>
      <c r="F309" s="101"/>
    </row>
    <row r="310" spans="1:6" s="93" customFormat="1" ht="12.75">
      <c r="A310" s="94"/>
      <c r="B310" s="101"/>
      <c r="C310" s="101"/>
      <c r="D310" s="95"/>
      <c r="E310" s="95"/>
      <c r="F310" s="101"/>
    </row>
    <row r="311" spans="1:6" s="93" customFormat="1" ht="12.75">
      <c r="A311" s="94"/>
      <c r="B311" s="101"/>
      <c r="C311" s="101"/>
      <c r="D311" s="95"/>
      <c r="E311" s="95"/>
      <c r="F311" s="101"/>
    </row>
    <row r="312" spans="1:6" s="93" customFormat="1" ht="12.75">
      <c r="A312" s="94"/>
      <c r="B312" s="101"/>
      <c r="C312" s="101"/>
      <c r="D312" s="95"/>
      <c r="E312" s="95"/>
      <c r="F312" s="101"/>
    </row>
    <row r="313" spans="1:6" s="93" customFormat="1" ht="12.75">
      <c r="A313" s="94"/>
      <c r="B313" s="101"/>
      <c r="C313" s="101"/>
      <c r="D313" s="95"/>
      <c r="E313" s="95"/>
      <c r="F313" s="101"/>
    </row>
    <row r="314" spans="1:6" s="93" customFormat="1" ht="12.75">
      <c r="A314" s="94"/>
      <c r="B314" s="101"/>
      <c r="C314" s="101"/>
      <c r="D314" s="95"/>
      <c r="E314" s="95"/>
      <c r="F314" s="101"/>
    </row>
    <row r="315" spans="1:6" s="93" customFormat="1" ht="12.75">
      <c r="A315" s="94"/>
      <c r="B315" s="101"/>
      <c r="C315" s="101"/>
      <c r="D315" s="95"/>
      <c r="E315" s="95"/>
      <c r="F315" s="101"/>
    </row>
    <row r="316" spans="1:6" s="93" customFormat="1" ht="12.75">
      <c r="A316" s="94"/>
      <c r="B316" s="101"/>
      <c r="C316" s="101"/>
      <c r="D316" s="95"/>
      <c r="E316" s="95"/>
      <c r="F316" s="101"/>
    </row>
    <row r="317" spans="1:6" s="93" customFormat="1" ht="12.75">
      <c r="A317" s="94"/>
      <c r="B317" s="101"/>
      <c r="C317" s="101"/>
      <c r="D317" s="95"/>
      <c r="E317" s="95"/>
      <c r="F317" s="101"/>
    </row>
    <row r="318" spans="1:6" s="93" customFormat="1" ht="12.75">
      <c r="A318" s="94"/>
      <c r="B318" s="101"/>
      <c r="C318" s="101"/>
      <c r="D318" s="95"/>
      <c r="E318" s="95"/>
      <c r="F318" s="101"/>
    </row>
    <row r="319" spans="1:6" s="93" customFormat="1" ht="12.75">
      <c r="A319" s="94"/>
      <c r="B319" s="101"/>
      <c r="C319" s="101"/>
      <c r="D319" s="95"/>
      <c r="E319" s="95"/>
      <c r="F319" s="101"/>
    </row>
    <row r="320" spans="1:6" s="93" customFormat="1" ht="12.75">
      <c r="A320" s="94"/>
      <c r="B320" s="101"/>
      <c r="C320" s="101"/>
      <c r="D320" s="95"/>
      <c r="E320" s="95"/>
      <c r="F320" s="101"/>
    </row>
    <row r="321" spans="1:6" s="93" customFormat="1" ht="12.75">
      <c r="A321" s="94"/>
      <c r="B321" s="101"/>
      <c r="C321" s="101"/>
      <c r="D321" s="95"/>
      <c r="E321" s="95"/>
      <c r="F321" s="101"/>
    </row>
    <row r="322" spans="1:6" s="93" customFormat="1" ht="12.75">
      <c r="A322" s="94"/>
      <c r="B322" s="101"/>
      <c r="C322" s="101"/>
      <c r="D322" s="95"/>
      <c r="E322" s="95"/>
      <c r="F322" s="101"/>
    </row>
    <row r="323" spans="1:6" s="93" customFormat="1" ht="12.75">
      <c r="A323" s="94"/>
      <c r="B323" s="101"/>
      <c r="C323" s="101"/>
      <c r="D323" s="95"/>
      <c r="E323" s="95"/>
      <c r="F323" s="101"/>
    </row>
    <row r="324" spans="1:6" s="93" customFormat="1" ht="12.75">
      <c r="A324" s="94"/>
      <c r="B324" s="101"/>
      <c r="C324" s="101"/>
      <c r="D324" s="95"/>
      <c r="E324" s="95"/>
      <c r="F324" s="101"/>
    </row>
    <row r="325" spans="1:6" s="93" customFormat="1" ht="12.75">
      <c r="A325" s="94"/>
      <c r="B325" s="101"/>
      <c r="C325" s="101"/>
      <c r="D325" s="95"/>
      <c r="E325" s="95"/>
      <c r="F325" s="101"/>
    </row>
    <row r="326" spans="1:6" s="93" customFormat="1" ht="12.75">
      <c r="A326" s="94"/>
      <c r="B326" s="101"/>
      <c r="C326" s="101"/>
      <c r="D326" s="95"/>
      <c r="E326" s="95"/>
      <c r="F326" s="101"/>
    </row>
    <row r="327" spans="1:6" s="93" customFormat="1" ht="12.75">
      <c r="A327" s="94"/>
      <c r="B327" s="101"/>
      <c r="C327" s="101"/>
      <c r="D327" s="95"/>
      <c r="E327" s="95"/>
      <c r="F327" s="101"/>
    </row>
    <row r="328" spans="1:6" s="93" customFormat="1" ht="12.75">
      <c r="A328" s="94"/>
      <c r="B328" s="101"/>
      <c r="C328" s="101"/>
      <c r="D328" s="95"/>
      <c r="E328" s="95"/>
      <c r="F328" s="101"/>
    </row>
    <row r="329" spans="1:6" s="93" customFormat="1" ht="12.75">
      <c r="A329" s="94"/>
      <c r="B329" s="101"/>
      <c r="C329" s="101"/>
      <c r="D329" s="95"/>
      <c r="E329" s="95"/>
      <c r="F329" s="101"/>
    </row>
    <row r="330" spans="1:6" s="93" customFormat="1" ht="12.75">
      <c r="A330" s="94"/>
      <c r="B330" s="101"/>
      <c r="C330" s="101"/>
      <c r="D330" s="95"/>
      <c r="E330" s="95"/>
      <c r="F330" s="101"/>
    </row>
    <row r="331" spans="1:6" s="93" customFormat="1" ht="12.75">
      <c r="A331" s="94"/>
      <c r="B331" s="101"/>
      <c r="C331" s="101"/>
      <c r="D331" s="95"/>
      <c r="E331" s="95"/>
      <c r="F331" s="101"/>
    </row>
    <row r="332" spans="1:6" s="93" customFormat="1" ht="12.75">
      <c r="A332" s="94"/>
      <c r="B332" s="101"/>
      <c r="C332" s="101"/>
      <c r="D332" s="95"/>
      <c r="E332" s="95"/>
      <c r="F332" s="101"/>
    </row>
    <row r="333" spans="1:6" s="93" customFormat="1" ht="12.75">
      <c r="A333" s="94"/>
      <c r="B333" s="101"/>
      <c r="C333" s="101"/>
      <c r="D333" s="95"/>
      <c r="E333" s="95"/>
      <c r="F333" s="101"/>
    </row>
    <row r="334" spans="1:6" s="93" customFormat="1" ht="12.75">
      <c r="A334" s="94"/>
      <c r="B334" s="101"/>
      <c r="C334" s="101"/>
      <c r="D334" s="95"/>
      <c r="E334" s="95"/>
      <c r="F334" s="101"/>
    </row>
    <row r="335" spans="1:6" s="93" customFormat="1" ht="12.75">
      <c r="A335" s="94"/>
      <c r="B335" s="101"/>
      <c r="C335" s="101"/>
      <c r="D335" s="95"/>
      <c r="E335" s="95"/>
      <c r="F335" s="101"/>
    </row>
    <row r="336" spans="1:6" s="93" customFormat="1" ht="12.75">
      <c r="A336" s="94"/>
      <c r="B336" s="101"/>
      <c r="C336" s="101"/>
      <c r="D336" s="95"/>
      <c r="E336" s="95"/>
      <c r="F336" s="101"/>
    </row>
    <row r="337" spans="1:6" s="93" customFormat="1" ht="12.75">
      <c r="A337" s="94"/>
      <c r="B337" s="101"/>
      <c r="C337" s="101"/>
      <c r="D337" s="95"/>
      <c r="E337" s="95"/>
      <c r="F337" s="101"/>
    </row>
    <row r="338" spans="1:6" s="93" customFormat="1" ht="12.75">
      <c r="A338" s="94"/>
      <c r="B338" s="101"/>
      <c r="C338" s="101"/>
      <c r="D338" s="95"/>
      <c r="E338" s="95"/>
      <c r="F338" s="101"/>
    </row>
    <row r="339" spans="1:6" s="93" customFormat="1" ht="12.75">
      <c r="A339" s="94"/>
      <c r="B339" s="101"/>
      <c r="C339" s="101"/>
      <c r="D339" s="95"/>
      <c r="E339" s="95"/>
      <c r="F339" s="101"/>
    </row>
    <row r="340" spans="1:6" s="93" customFormat="1" ht="12.75">
      <c r="A340" s="94"/>
      <c r="B340" s="101"/>
      <c r="C340" s="101"/>
      <c r="D340" s="95"/>
      <c r="E340" s="95"/>
      <c r="F340" s="101"/>
    </row>
    <row r="341" spans="1:6" s="93" customFormat="1" ht="12.75">
      <c r="A341" s="94"/>
      <c r="B341" s="101"/>
      <c r="C341" s="101"/>
      <c r="D341" s="95"/>
      <c r="E341" s="95"/>
      <c r="F341" s="101"/>
    </row>
    <row r="342" spans="1:6" s="93" customFormat="1" ht="12.75">
      <c r="A342" s="94"/>
      <c r="B342" s="101"/>
      <c r="C342" s="101"/>
      <c r="D342" s="95"/>
      <c r="E342" s="95"/>
      <c r="F342" s="101"/>
    </row>
    <row r="343" spans="1:6" s="93" customFormat="1" ht="12.75">
      <c r="A343" s="94"/>
      <c r="B343" s="101"/>
      <c r="C343" s="101"/>
      <c r="D343" s="95"/>
      <c r="E343" s="95"/>
      <c r="F343" s="101"/>
    </row>
    <row r="344" spans="1:6" s="93" customFormat="1" ht="12.75">
      <c r="A344" s="94"/>
      <c r="B344" s="101"/>
      <c r="C344" s="101"/>
      <c r="D344" s="95"/>
      <c r="E344" s="95"/>
      <c r="F344" s="101"/>
    </row>
    <row r="345" spans="1:6" s="93" customFormat="1" ht="12.75">
      <c r="A345" s="94"/>
      <c r="B345" s="101"/>
      <c r="C345" s="101"/>
      <c r="D345" s="95"/>
      <c r="E345" s="95"/>
      <c r="F345" s="101"/>
    </row>
    <row r="346" spans="1:6" s="93" customFormat="1" ht="12.75">
      <c r="A346" s="94"/>
      <c r="B346" s="101"/>
      <c r="C346" s="101"/>
      <c r="D346" s="95"/>
      <c r="E346" s="95"/>
      <c r="F346" s="101"/>
    </row>
    <row r="347" spans="1:6" s="93" customFormat="1" ht="12.75">
      <c r="A347" s="94"/>
      <c r="B347" s="101"/>
      <c r="C347" s="101"/>
      <c r="D347" s="95"/>
      <c r="E347" s="95"/>
      <c r="F347" s="101"/>
    </row>
    <row r="348" spans="1:6" s="93" customFormat="1" ht="12.75">
      <c r="A348" s="94"/>
      <c r="B348" s="101"/>
      <c r="C348" s="101"/>
      <c r="D348" s="95"/>
      <c r="E348" s="95"/>
      <c r="F348" s="101"/>
    </row>
    <row r="349" spans="1:6" s="93" customFormat="1" ht="12.75">
      <c r="A349" s="94"/>
      <c r="B349" s="101"/>
      <c r="C349" s="101"/>
      <c r="D349" s="95"/>
      <c r="E349" s="95"/>
      <c r="F349" s="101"/>
    </row>
    <row r="350" spans="1:6" s="93" customFormat="1" ht="12.75">
      <c r="A350" s="94"/>
      <c r="B350" s="101"/>
      <c r="C350" s="101"/>
      <c r="D350" s="95"/>
      <c r="E350" s="95"/>
      <c r="F350" s="101"/>
    </row>
    <row r="351" spans="1:6" s="93" customFormat="1" ht="12.75">
      <c r="A351" s="94"/>
      <c r="B351" s="101"/>
      <c r="C351" s="101"/>
      <c r="D351" s="95"/>
      <c r="E351" s="95"/>
      <c r="F351" s="101"/>
    </row>
    <row r="352" spans="1:6" s="93" customFormat="1" ht="12.75">
      <c r="A352" s="94"/>
      <c r="B352" s="101"/>
      <c r="C352" s="101"/>
      <c r="D352" s="95"/>
      <c r="E352" s="95"/>
      <c r="F352" s="101"/>
    </row>
    <row r="353" spans="1:6" s="93" customFormat="1" ht="12.75">
      <c r="A353" s="94"/>
      <c r="B353" s="101"/>
      <c r="C353" s="101"/>
      <c r="D353" s="95"/>
      <c r="E353" s="95"/>
      <c r="F353" s="101"/>
    </row>
    <row r="354" spans="1:6" s="93" customFormat="1" ht="12.75">
      <c r="A354" s="94"/>
      <c r="B354" s="101"/>
      <c r="C354" s="101"/>
      <c r="D354" s="95"/>
      <c r="E354" s="95"/>
      <c r="F354" s="101"/>
    </row>
    <row r="355" spans="1:6" s="93" customFormat="1" ht="12.75">
      <c r="A355" s="94"/>
      <c r="B355" s="101"/>
      <c r="C355" s="101"/>
      <c r="D355" s="95"/>
      <c r="E355" s="95"/>
      <c r="F355" s="101"/>
    </row>
    <row r="356" spans="1:6" s="93" customFormat="1" ht="12.75">
      <c r="A356" s="94"/>
      <c r="B356" s="101"/>
      <c r="C356" s="101"/>
      <c r="D356" s="95"/>
      <c r="E356" s="95"/>
      <c r="F356" s="101"/>
    </row>
    <row r="357" spans="1:6" s="93" customFormat="1" ht="12.75">
      <c r="A357" s="94"/>
      <c r="B357" s="101"/>
      <c r="C357" s="101"/>
      <c r="D357" s="95"/>
      <c r="E357" s="95"/>
      <c r="F357" s="101"/>
    </row>
    <row r="358" spans="1:6" s="93" customFormat="1" ht="12.75">
      <c r="A358" s="94"/>
      <c r="B358" s="101"/>
      <c r="C358" s="101"/>
      <c r="D358" s="95"/>
      <c r="E358" s="95"/>
      <c r="F358" s="101"/>
    </row>
    <row r="359" spans="1:6" s="93" customFormat="1" ht="12.75">
      <c r="A359" s="94"/>
      <c r="B359" s="101"/>
      <c r="C359" s="101"/>
      <c r="D359" s="95"/>
      <c r="E359" s="95"/>
      <c r="F359" s="101"/>
    </row>
    <row r="360" spans="1:6" s="93" customFormat="1" ht="12.75">
      <c r="A360" s="94"/>
      <c r="B360" s="101"/>
      <c r="C360" s="101"/>
      <c r="D360" s="95"/>
      <c r="E360" s="95"/>
      <c r="F360" s="101"/>
    </row>
    <row r="361" spans="1:6" s="93" customFormat="1" ht="12.75">
      <c r="A361" s="94"/>
      <c r="B361" s="101"/>
      <c r="C361" s="101"/>
      <c r="D361" s="95"/>
      <c r="E361" s="95"/>
      <c r="F361" s="101"/>
    </row>
    <row r="362" spans="1:6" s="93" customFormat="1" ht="12.75">
      <c r="A362" s="94"/>
      <c r="B362" s="101"/>
      <c r="C362" s="101"/>
      <c r="D362" s="95"/>
      <c r="E362" s="95"/>
      <c r="F362" s="101"/>
    </row>
    <row r="363" spans="1:6" s="93" customFormat="1" ht="12.75">
      <c r="A363" s="94"/>
      <c r="B363" s="101"/>
      <c r="C363" s="101"/>
      <c r="D363" s="95"/>
      <c r="E363" s="95"/>
      <c r="F363" s="101"/>
    </row>
    <row r="364" spans="1:6" s="93" customFormat="1" ht="12.75">
      <c r="A364" s="94"/>
      <c r="B364" s="101"/>
      <c r="C364" s="101"/>
      <c r="D364" s="95"/>
      <c r="E364" s="95"/>
      <c r="F364" s="101"/>
    </row>
    <row r="365" spans="1:6" s="93" customFormat="1" ht="12.75">
      <c r="A365" s="94"/>
      <c r="B365" s="101"/>
      <c r="C365" s="101"/>
      <c r="D365" s="95"/>
      <c r="E365" s="95"/>
      <c r="F365" s="101"/>
    </row>
    <row r="366" spans="1:6" s="93" customFormat="1" ht="12.75">
      <c r="A366" s="94"/>
      <c r="B366" s="101"/>
      <c r="C366" s="101"/>
      <c r="D366" s="95"/>
      <c r="E366" s="95"/>
      <c r="F366" s="101"/>
    </row>
    <row r="367" spans="1:6" s="93" customFormat="1" ht="12.75">
      <c r="A367" s="94"/>
      <c r="B367" s="101"/>
      <c r="C367" s="101"/>
      <c r="D367" s="95"/>
      <c r="E367" s="95"/>
      <c r="F367" s="101"/>
    </row>
    <row r="368" spans="1:6" s="93" customFormat="1" ht="12.75">
      <c r="A368" s="94"/>
      <c r="B368" s="101"/>
      <c r="C368" s="101"/>
      <c r="D368" s="95"/>
      <c r="E368" s="95"/>
      <c r="F368" s="101"/>
    </row>
    <row r="369" spans="1:6" s="93" customFormat="1" ht="12.75">
      <c r="A369" s="94"/>
      <c r="B369" s="101"/>
      <c r="C369" s="101"/>
      <c r="D369" s="95"/>
      <c r="E369" s="95"/>
      <c r="F369" s="101"/>
    </row>
    <row r="370" spans="1:6" s="93" customFormat="1" ht="12.75">
      <c r="A370" s="94"/>
      <c r="B370" s="101"/>
      <c r="C370" s="101"/>
      <c r="D370" s="95"/>
      <c r="E370" s="95"/>
      <c r="F370" s="101"/>
    </row>
    <row r="371" spans="1:6" s="93" customFormat="1" ht="12.75">
      <c r="A371" s="94"/>
      <c r="B371" s="101"/>
      <c r="C371" s="101"/>
      <c r="D371" s="95"/>
      <c r="E371" s="95"/>
      <c r="F371" s="101"/>
    </row>
    <row r="372" spans="1:6" s="93" customFormat="1" ht="12.75">
      <c r="A372" s="94"/>
      <c r="B372" s="101"/>
      <c r="C372" s="101"/>
      <c r="D372" s="95"/>
      <c r="E372" s="95"/>
      <c r="F372" s="101"/>
    </row>
    <row r="373" spans="1:6" s="93" customFormat="1" ht="12.75">
      <c r="A373" s="94"/>
      <c r="B373" s="101"/>
      <c r="C373" s="101"/>
      <c r="D373" s="95"/>
      <c r="E373" s="95"/>
      <c r="F373" s="101"/>
    </row>
    <row r="374" spans="1:6" s="93" customFormat="1" ht="12.75">
      <c r="A374" s="94"/>
      <c r="B374" s="101"/>
      <c r="C374" s="101"/>
      <c r="D374" s="95"/>
      <c r="E374" s="95"/>
      <c r="F374" s="101"/>
    </row>
    <row r="375" spans="1:6" s="93" customFormat="1" ht="12.75">
      <c r="A375" s="94"/>
      <c r="B375" s="101"/>
      <c r="C375" s="101"/>
      <c r="D375" s="95"/>
      <c r="E375" s="95"/>
      <c r="F375" s="101"/>
    </row>
    <row r="376" spans="1:6" s="93" customFormat="1" ht="12.75">
      <c r="A376" s="94"/>
      <c r="B376" s="101"/>
      <c r="C376" s="101"/>
      <c r="D376" s="95"/>
      <c r="E376" s="95"/>
      <c r="F376" s="101"/>
    </row>
    <row r="377" spans="1:6" s="93" customFormat="1" ht="12.75">
      <c r="A377" s="94"/>
      <c r="B377" s="101"/>
      <c r="C377" s="101"/>
      <c r="D377" s="95"/>
      <c r="E377" s="95"/>
      <c r="F377" s="101"/>
    </row>
    <row r="378" spans="1:6" s="93" customFormat="1" ht="12.75">
      <c r="A378" s="94"/>
      <c r="B378" s="101"/>
      <c r="C378" s="101"/>
      <c r="D378" s="95"/>
      <c r="E378" s="95"/>
      <c r="F378" s="101"/>
    </row>
    <row r="379" spans="1:6" s="93" customFormat="1" ht="12.75">
      <c r="A379" s="94"/>
      <c r="B379" s="101"/>
      <c r="C379" s="101"/>
      <c r="D379" s="95"/>
      <c r="E379" s="95"/>
      <c r="F379" s="101"/>
    </row>
    <row r="380" spans="1:6" s="93" customFormat="1" ht="12.75">
      <c r="A380" s="94"/>
      <c r="B380" s="101"/>
      <c r="C380" s="101"/>
      <c r="D380" s="95"/>
      <c r="E380" s="95"/>
      <c r="F380" s="101"/>
    </row>
    <row r="381" spans="1:6" s="93" customFormat="1" ht="12.75">
      <c r="A381" s="94"/>
      <c r="B381" s="101"/>
      <c r="C381" s="101"/>
      <c r="D381" s="95"/>
      <c r="E381" s="95"/>
      <c r="F381" s="101"/>
    </row>
    <row r="382" spans="1:6" s="93" customFormat="1" ht="12.75">
      <c r="A382" s="94"/>
      <c r="B382" s="101"/>
      <c r="C382" s="101"/>
      <c r="D382" s="95"/>
      <c r="E382" s="95"/>
      <c r="F382" s="101"/>
    </row>
    <row r="383" spans="1:6" s="93" customFormat="1" ht="12.75">
      <c r="A383" s="94"/>
      <c r="B383" s="101"/>
      <c r="C383" s="101"/>
      <c r="D383" s="95"/>
      <c r="E383" s="95"/>
      <c r="F383" s="101"/>
    </row>
    <row r="384" spans="1:6" s="93" customFormat="1" ht="12.75">
      <c r="A384" s="94"/>
      <c r="B384" s="101"/>
      <c r="C384" s="101"/>
      <c r="D384" s="95"/>
      <c r="E384" s="95"/>
      <c r="F384" s="101"/>
    </row>
    <row r="385" spans="1:6" s="93" customFormat="1" ht="12.75">
      <c r="A385" s="94"/>
      <c r="B385" s="101"/>
      <c r="C385" s="101"/>
      <c r="D385" s="95"/>
      <c r="E385" s="95"/>
      <c r="F385" s="101"/>
    </row>
    <row r="386" spans="1:6" s="93" customFormat="1" ht="12.75">
      <c r="A386" s="94"/>
      <c r="B386" s="101"/>
      <c r="C386" s="101"/>
      <c r="D386" s="95"/>
      <c r="E386" s="95"/>
      <c r="F386" s="101"/>
    </row>
    <row r="387" spans="1:6" s="93" customFormat="1" ht="12.75">
      <c r="A387" s="94"/>
      <c r="B387" s="101"/>
      <c r="C387" s="101"/>
      <c r="D387" s="95"/>
      <c r="E387" s="95"/>
      <c r="F387" s="101"/>
    </row>
    <row r="388" spans="1:6" s="93" customFormat="1" ht="12.75">
      <c r="A388" s="94"/>
      <c r="B388" s="101"/>
      <c r="C388" s="101"/>
      <c r="D388" s="95"/>
      <c r="E388" s="95"/>
      <c r="F388" s="101"/>
    </row>
    <row r="389" spans="1:6" s="93" customFormat="1" ht="12.75">
      <c r="A389" s="94"/>
      <c r="B389" s="101"/>
      <c r="C389" s="101"/>
      <c r="D389" s="95"/>
      <c r="E389" s="95"/>
      <c r="F389" s="101"/>
    </row>
    <row r="390" spans="1:6" s="93" customFormat="1" ht="12.75">
      <c r="A390" s="94"/>
      <c r="B390" s="101"/>
      <c r="C390" s="101"/>
      <c r="D390" s="95"/>
      <c r="E390" s="95"/>
      <c r="F390" s="101"/>
    </row>
    <row r="391" spans="1:6" s="93" customFormat="1" ht="12.75">
      <c r="A391" s="94"/>
      <c r="B391" s="101"/>
      <c r="C391" s="101"/>
      <c r="D391" s="95"/>
      <c r="E391" s="95"/>
      <c r="F391" s="101"/>
    </row>
    <row r="392" spans="1:6" s="93" customFormat="1" ht="12.75">
      <c r="A392" s="94"/>
      <c r="B392" s="101"/>
      <c r="C392" s="101"/>
      <c r="D392" s="95"/>
      <c r="E392" s="95"/>
      <c r="F392" s="101"/>
    </row>
    <row r="393" spans="1:6" s="93" customFormat="1" ht="12.75">
      <c r="A393" s="94"/>
      <c r="B393" s="101"/>
      <c r="C393" s="101"/>
      <c r="D393" s="95"/>
      <c r="E393" s="95"/>
      <c r="F393" s="101"/>
    </row>
    <row r="394" spans="1:6" s="93" customFormat="1" ht="12.75">
      <c r="A394" s="94"/>
      <c r="B394" s="101"/>
      <c r="C394" s="101"/>
      <c r="D394" s="95"/>
      <c r="E394" s="95"/>
      <c r="F394" s="101"/>
    </row>
    <row r="395" spans="1:6" s="93" customFormat="1" ht="12.75">
      <c r="A395" s="94"/>
      <c r="B395" s="101"/>
      <c r="C395" s="101"/>
      <c r="D395" s="95"/>
      <c r="E395" s="95"/>
      <c r="F395" s="101"/>
    </row>
    <row r="396" spans="1:6" s="93" customFormat="1" ht="12.75">
      <c r="A396" s="94"/>
      <c r="B396" s="101"/>
      <c r="C396" s="101"/>
      <c r="D396" s="95"/>
      <c r="E396" s="95"/>
      <c r="F396" s="101"/>
    </row>
    <row r="397" spans="1:6" s="93" customFormat="1" ht="12.75">
      <c r="A397" s="94"/>
      <c r="B397" s="101"/>
      <c r="C397" s="101"/>
      <c r="D397" s="95"/>
      <c r="E397" s="95"/>
      <c r="F397" s="101"/>
    </row>
    <row r="398" spans="1:6" s="93" customFormat="1" ht="12.75">
      <c r="A398" s="94"/>
      <c r="B398" s="101"/>
      <c r="C398" s="101"/>
      <c r="D398" s="95"/>
      <c r="E398" s="95"/>
      <c r="F398" s="101"/>
    </row>
    <row r="399" spans="1:6" s="93" customFormat="1" ht="12.75">
      <c r="A399" s="94"/>
      <c r="B399" s="101"/>
      <c r="C399" s="101"/>
      <c r="D399" s="95"/>
      <c r="E399" s="95"/>
      <c r="F399" s="101"/>
    </row>
    <row r="400" spans="1:6" s="93" customFormat="1" ht="12.75">
      <c r="A400" s="94"/>
      <c r="B400" s="101"/>
      <c r="C400" s="101"/>
      <c r="D400" s="95"/>
      <c r="E400" s="95"/>
      <c r="F400" s="101"/>
    </row>
    <row r="401" spans="1:6" s="93" customFormat="1" ht="12.75">
      <c r="A401" s="94"/>
      <c r="B401" s="101"/>
      <c r="C401" s="101"/>
      <c r="D401" s="95"/>
      <c r="E401" s="95"/>
      <c r="F401" s="101"/>
    </row>
    <row r="402" spans="1:6" s="93" customFormat="1" ht="12.75">
      <c r="A402" s="94"/>
      <c r="B402" s="101"/>
      <c r="C402" s="101"/>
      <c r="D402" s="95"/>
      <c r="E402" s="95"/>
      <c r="F402" s="101"/>
    </row>
    <row r="403" spans="1:6" s="93" customFormat="1" ht="12.75">
      <c r="A403" s="94"/>
      <c r="B403" s="101"/>
      <c r="C403" s="101"/>
      <c r="D403" s="95"/>
      <c r="E403" s="95"/>
      <c r="F403" s="101"/>
    </row>
    <row r="404" spans="1:6" s="93" customFormat="1" ht="12.75">
      <c r="A404" s="94"/>
      <c r="B404" s="101"/>
      <c r="C404" s="101"/>
      <c r="D404" s="95"/>
      <c r="E404" s="95"/>
      <c r="F404" s="101"/>
    </row>
    <row r="405" spans="1:6" s="93" customFormat="1" ht="12.75">
      <c r="A405" s="94"/>
      <c r="B405" s="101"/>
      <c r="C405" s="101"/>
      <c r="D405" s="95"/>
      <c r="E405" s="95"/>
      <c r="F405" s="101"/>
    </row>
    <row r="406" spans="1:6" s="93" customFormat="1" ht="12.75">
      <c r="A406" s="94"/>
      <c r="B406" s="101"/>
      <c r="C406" s="101"/>
      <c r="D406" s="95"/>
      <c r="E406" s="95"/>
      <c r="F406" s="101"/>
    </row>
    <row r="407" spans="1:6" s="93" customFormat="1" ht="12.75">
      <c r="A407" s="94"/>
      <c r="B407" s="101"/>
      <c r="C407" s="101"/>
      <c r="D407" s="95"/>
      <c r="E407" s="95"/>
      <c r="F407" s="101"/>
    </row>
    <row r="408" spans="1:6" s="93" customFormat="1" ht="12.75">
      <c r="A408" s="94"/>
      <c r="B408" s="101"/>
      <c r="C408" s="101"/>
      <c r="D408" s="95"/>
      <c r="E408" s="95"/>
      <c r="F408" s="101"/>
    </row>
    <row r="409" spans="1:6" s="93" customFormat="1" ht="12.75">
      <c r="A409" s="94"/>
      <c r="B409" s="101"/>
      <c r="C409" s="101"/>
      <c r="D409" s="95"/>
      <c r="E409" s="95"/>
      <c r="F409" s="101"/>
    </row>
    <row r="410" spans="1:6" s="93" customFormat="1" ht="12.75">
      <c r="A410" s="94"/>
      <c r="B410" s="101"/>
      <c r="C410" s="101"/>
      <c r="D410" s="95"/>
      <c r="E410" s="95"/>
      <c r="F410" s="101"/>
    </row>
    <row r="411" spans="1:6" s="93" customFormat="1" ht="12.75">
      <c r="A411" s="94"/>
      <c r="B411" s="101"/>
      <c r="C411" s="101"/>
      <c r="D411" s="95"/>
      <c r="E411" s="95"/>
      <c r="F411" s="101"/>
    </row>
    <row r="412" spans="1:6" s="93" customFormat="1" ht="12.75">
      <c r="A412" s="94"/>
      <c r="B412" s="101"/>
      <c r="C412" s="101"/>
      <c r="D412" s="95"/>
      <c r="E412" s="95"/>
      <c r="F412" s="101"/>
    </row>
    <row r="413" spans="1:6" s="93" customFormat="1" ht="12.75">
      <c r="A413" s="94"/>
      <c r="B413" s="101"/>
      <c r="C413" s="101"/>
      <c r="D413" s="95"/>
      <c r="E413" s="95"/>
      <c r="F413" s="101"/>
    </row>
    <row r="414" spans="1:6" s="93" customFormat="1" ht="12.75">
      <c r="A414" s="94"/>
      <c r="B414" s="101"/>
      <c r="C414" s="101"/>
      <c r="D414" s="95"/>
      <c r="E414" s="95"/>
      <c r="F414" s="101"/>
    </row>
    <row r="415" spans="1:6" s="93" customFormat="1" ht="12.75">
      <c r="A415" s="94"/>
      <c r="B415" s="101"/>
      <c r="C415" s="101"/>
      <c r="D415" s="95"/>
      <c r="E415" s="95"/>
      <c r="F415" s="101"/>
    </row>
    <row r="416" spans="1:6" s="93" customFormat="1" ht="12.75">
      <c r="A416" s="94"/>
      <c r="B416" s="101"/>
      <c r="C416" s="101"/>
      <c r="D416" s="95"/>
      <c r="E416" s="95"/>
      <c r="F416" s="101"/>
    </row>
    <row r="417" spans="1:6" s="93" customFormat="1" ht="12.75">
      <c r="A417" s="94"/>
      <c r="B417" s="101"/>
      <c r="C417" s="101"/>
      <c r="D417" s="95"/>
      <c r="E417" s="95"/>
      <c r="F417" s="101"/>
    </row>
    <row r="418" spans="1:6" s="93" customFormat="1" ht="12.75">
      <c r="A418" s="94"/>
      <c r="B418" s="101"/>
      <c r="C418" s="101"/>
      <c r="D418" s="95"/>
      <c r="E418" s="95"/>
      <c r="F418" s="101"/>
    </row>
    <row r="419" spans="1:6" s="93" customFormat="1" ht="12.75">
      <c r="A419" s="94"/>
      <c r="B419" s="101"/>
      <c r="C419" s="101"/>
      <c r="D419" s="95"/>
      <c r="E419" s="95"/>
      <c r="F419" s="101"/>
    </row>
    <row r="420" spans="1:6" s="93" customFormat="1" ht="12.75">
      <c r="A420" s="94"/>
      <c r="B420" s="101"/>
      <c r="C420" s="101"/>
      <c r="D420" s="95"/>
      <c r="E420" s="95"/>
      <c r="F420" s="101"/>
    </row>
    <row r="421" spans="1:6" s="93" customFormat="1" ht="12.75">
      <c r="A421" s="94"/>
      <c r="B421" s="101"/>
      <c r="C421" s="101"/>
      <c r="D421" s="95"/>
      <c r="E421" s="95"/>
      <c r="F421" s="101"/>
    </row>
    <row r="422" spans="1:6" s="93" customFormat="1" ht="12.75">
      <c r="A422" s="94"/>
      <c r="B422" s="101"/>
      <c r="C422" s="101"/>
      <c r="D422" s="95"/>
      <c r="E422" s="95"/>
      <c r="F422" s="101"/>
    </row>
    <row r="423" spans="1:6" s="93" customFormat="1" ht="12.75">
      <c r="A423" s="94"/>
      <c r="B423" s="101"/>
      <c r="C423" s="101"/>
      <c r="D423" s="95"/>
      <c r="E423" s="95"/>
      <c r="F423" s="101"/>
    </row>
    <row r="424" spans="1:6" s="93" customFormat="1" ht="12.75">
      <c r="A424" s="94"/>
      <c r="B424" s="101"/>
      <c r="C424" s="101"/>
      <c r="D424" s="95"/>
      <c r="E424" s="95"/>
      <c r="F424" s="101"/>
    </row>
    <row r="425" spans="1:6" s="93" customFormat="1" ht="12.75">
      <c r="A425" s="94"/>
      <c r="B425" s="101"/>
      <c r="C425" s="101"/>
      <c r="D425" s="95"/>
      <c r="E425" s="95"/>
      <c r="F425" s="101"/>
    </row>
    <row r="426" spans="1:6" s="93" customFormat="1" ht="12.75">
      <c r="A426" s="94"/>
      <c r="B426" s="101"/>
      <c r="C426" s="101"/>
      <c r="D426" s="95"/>
      <c r="E426" s="95"/>
      <c r="F426" s="101"/>
    </row>
    <row r="427" spans="1:6" s="93" customFormat="1" ht="12.75">
      <c r="A427" s="94"/>
      <c r="B427" s="101"/>
      <c r="C427" s="101"/>
      <c r="D427" s="95"/>
      <c r="E427" s="95"/>
      <c r="F427" s="101"/>
    </row>
    <row r="428" spans="1:6" s="93" customFormat="1" ht="12.75">
      <c r="A428" s="94"/>
      <c r="B428" s="101"/>
      <c r="C428" s="101"/>
      <c r="D428" s="95"/>
      <c r="E428" s="95"/>
      <c r="F428" s="101"/>
    </row>
    <row r="429" spans="1:6" s="93" customFormat="1" ht="12.75">
      <c r="A429" s="94"/>
      <c r="B429" s="101"/>
      <c r="C429" s="101"/>
      <c r="D429" s="95"/>
      <c r="E429" s="95"/>
      <c r="F429" s="101"/>
    </row>
    <row r="430" spans="1:6" s="93" customFormat="1" ht="12.75">
      <c r="A430" s="94"/>
      <c r="B430" s="101"/>
      <c r="C430" s="101"/>
      <c r="D430" s="95"/>
      <c r="E430" s="95"/>
      <c r="F430" s="101"/>
    </row>
    <row r="431" spans="1:6" s="93" customFormat="1" ht="12.75">
      <c r="A431" s="94"/>
      <c r="B431" s="101"/>
      <c r="C431" s="101"/>
      <c r="D431" s="95"/>
      <c r="E431" s="95"/>
      <c r="F431" s="101"/>
    </row>
    <row r="432" spans="1:6" s="93" customFormat="1" ht="12.75">
      <c r="A432" s="94"/>
      <c r="B432" s="101"/>
      <c r="C432" s="101"/>
      <c r="D432" s="95"/>
      <c r="E432" s="95"/>
      <c r="F432" s="101"/>
    </row>
    <row r="433" spans="1:6" s="93" customFormat="1" ht="12.75">
      <c r="A433" s="94"/>
      <c r="B433" s="101"/>
      <c r="C433" s="101"/>
      <c r="D433" s="95"/>
      <c r="E433" s="95"/>
      <c r="F433" s="101"/>
    </row>
    <row r="434" spans="1:6" s="93" customFormat="1" ht="12.75">
      <c r="A434" s="94"/>
      <c r="B434" s="101"/>
      <c r="C434" s="101"/>
      <c r="D434" s="95"/>
      <c r="E434" s="95"/>
      <c r="F434" s="101"/>
    </row>
    <row r="435" spans="1:6" s="93" customFormat="1" ht="12.75">
      <c r="A435" s="94"/>
      <c r="B435" s="101"/>
      <c r="C435" s="101"/>
      <c r="D435" s="95"/>
      <c r="E435" s="95"/>
      <c r="F435" s="101"/>
    </row>
    <row r="436" spans="1:6" s="93" customFormat="1" ht="12.75">
      <c r="A436" s="94"/>
      <c r="B436" s="101"/>
      <c r="C436" s="101"/>
      <c r="D436" s="95"/>
      <c r="E436" s="95"/>
      <c r="F436" s="101"/>
    </row>
    <row r="437" spans="1:6" s="93" customFormat="1" ht="12.75">
      <c r="A437" s="94"/>
      <c r="B437" s="101"/>
      <c r="C437" s="101"/>
      <c r="D437" s="95"/>
      <c r="E437" s="95"/>
      <c r="F437" s="101"/>
    </row>
  </sheetData>
  <sheetProtection sheet="1" objects="1" scenarios="1" selectLockedCells="1"/>
  <mergeCells count="66">
    <mergeCell ref="E21:E22"/>
    <mergeCell ref="F21:F22"/>
    <mergeCell ref="A21:A22"/>
    <mergeCell ref="B21:B22"/>
    <mergeCell ref="C21:C22"/>
    <mergeCell ref="D21:D22"/>
    <mergeCell ref="K17:L17"/>
    <mergeCell ref="N17:O17"/>
    <mergeCell ref="H19:P19"/>
    <mergeCell ref="H20:P20"/>
    <mergeCell ref="H12:H17"/>
    <mergeCell ref="H18:P18"/>
    <mergeCell ref="K15:L15"/>
    <mergeCell ref="N15:O15"/>
    <mergeCell ref="K12:L12"/>
    <mergeCell ref="N12:O12"/>
    <mergeCell ref="K13:L13"/>
    <mergeCell ref="N13:O13"/>
    <mergeCell ref="K16:L16"/>
    <mergeCell ref="N16:O16"/>
    <mergeCell ref="K14:L14"/>
    <mergeCell ref="N14:O14"/>
    <mergeCell ref="A1:F1"/>
    <mergeCell ref="I12:I17"/>
    <mergeCell ref="I7:I11"/>
    <mergeCell ref="A2:F2"/>
    <mergeCell ref="A3:F3"/>
    <mergeCell ref="H4:H6"/>
    <mergeCell ref="I4:I6"/>
    <mergeCell ref="H7:H11"/>
    <mergeCell ref="J4:J6"/>
    <mergeCell ref="K4:M4"/>
    <mergeCell ref="K5:M5"/>
    <mergeCell ref="N5:P5"/>
    <mergeCell ref="K6:L6"/>
    <mergeCell ref="N6:O6"/>
    <mergeCell ref="V4:W4"/>
    <mergeCell ref="X4:Z4"/>
    <mergeCell ref="S2:AA2"/>
    <mergeCell ref="S4:S6"/>
    <mergeCell ref="U4:U5"/>
    <mergeCell ref="AA4:AA5"/>
    <mergeCell ref="T4:T6"/>
    <mergeCell ref="S17:AA17"/>
    <mergeCell ref="S19:AA19"/>
    <mergeCell ref="S15:Z15"/>
    <mergeCell ref="U13:Z13"/>
    <mergeCell ref="U14:Z14"/>
    <mergeCell ref="S16:AA16"/>
    <mergeCell ref="S41:AA41"/>
    <mergeCell ref="S20:AA25"/>
    <mergeCell ref="S26:S30"/>
    <mergeCell ref="T26:T30"/>
    <mergeCell ref="U26:U29"/>
    <mergeCell ref="V26:W27"/>
    <mergeCell ref="X26:Z27"/>
    <mergeCell ref="S40:AA40"/>
    <mergeCell ref="S39:Z39"/>
    <mergeCell ref="AA26:AA29"/>
    <mergeCell ref="A33:D33"/>
    <mergeCell ref="Z28:Z29"/>
    <mergeCell ref="V28:V29"/>
    <mergeCell ref="W28:W29"/>
    <mergeCell ref="X28:X29"/>
    <mergeCell ref="Y28:Y29"/>
    <mergeCell ref="A24:A3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Bohnhoff</dc:creator>
  <cp:keywords/>
  <dc:description/>
  <cp:lastModifiedBy>David</cp:lastModifiedBy>
  <dcterms:created xsi:type="dcterms:W3CDTF">2017-02-10T19:53:27Z</dcterms:created>
  <dcterms:modified xsi:type="dcterms:W3CDTF">2022-01-26T21:05:35Z</dcterms:modified>
  <cp:category/>
  <cp:version/>
  <cp:contentType/>
  <cp:contentStatus/>
</cp:coreProperties>
</file>